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i\Documents\FORMAZIONE INSEGNANTI 2020\PROPOSTA 2020\WEBINAR CRISI\"/>
    </mc:Choice>
  </mc:AlternateContent>
  <bookViews>
    <workbookView xWindow="0" yWindow="0" windowWidth="20490" windowHeight="7755"/>
  </bookViews>
  <sheets>
    <sheet name="zeta scoring" sheetId="1" r:id="rId1"/>
  </sheets>
  <definedNames>
    <definedName name="_xlnm.Print_Area" localSheetId="0">'zeta scoring'!$A$133:$F$168</definedName>
    <definedName name="INDICI" localSheetId="0">'zeta scoring'!$N$6:$R$28</definedName>
    <definedName name="Titoli_stampa_MI" localSheetId="0">'zeta scoring'!$C:$H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1" l="1"/>
  <c r="E162" i="1"/>
  <c r="D162" i="1"/>
  <c r="D165" i="1" s="1"/>
  <c r="E157" i="1"/>
  <c r="D157" i="1"/>
  <c r="F155" i="1"/>
  <c r="F154" i="1"/>
  <c r="F157" i="1" s="1"/>
  <c r="F153" i="1"/>
  <c r="F150" i="1"/>
  <c r="E150" i="1"/>
  <c r="F149" i="1"/>
  <c r="E149" i="1"/>
  <c r="D149" i="1"/>
  <c r="D146" i="1"/>
  <c r="F144" i="1"/>
  <c r="E144" i="1"/>
  <c r="F143" i="1"/>
  <c r="E143" i="1"/>
  <c r="F141" i="1"/>
  <c r="E141" i="1"/>
  <c r="F140" i="1"/>
  <c r="E140" i="1"/>
  <c r="F139" i="1"/>
  <c r="E139" i="1"/>
  <c r="E146" i="1" s="1"/>
  <c r="G131" i="1"/>
  <c r="F131" i="1"/>
  <c r="E131" i="1"/>
  <c r="D131" i="1"/>
  <c r="M58" i="1"/>
  <c r="R57" i="1"/>
  <c r="M57" i="1"/>
  <c r="L57" i="1"/>
  <c r="K57" i="1"/>
  <c r="J57" i="1"/>
  <c r="I57" i="1"/>
  <c r="M56" i="1"/>
  <c r="R55" i="1"/>
  <c r="Q55" i="1"/>
  <c r="P55" i="1"/>
  <c r="O55" i="1"/>
  <c r="M55" i="1"/>
  <c r="L55" i="1"/>
  <c r="K55" i="1"/>
  <c r="J55" i="1"/>
  <c r="I55" i="1"/>
  <c r="M54" i="1"/>
  <c r="R53" i="1"/>
  <c r="Q53" i="1"/>
  <c r="P53" i="1"/>
  <c r="O53" i="1"/>
  <c r="M53" i="1"/>
  <c r="L53" i="1"/>
  <c r="K53" i="1"/>
  <c r="J53" i="1"/>
  <c r="I53" i="1"/>
  <c r="M52" i="1"/>
  <c r="R51" i="1"/>
  <c r="Q51" i="1"/>
  <c r="P51" i="1"/>
  <c r="O51" i="1"/>
  <c r="M51" i="1"/>
  <c r="L51" i="1"/>
  <c r="K51" i="1"/>
  <c r="J51" i="1"/>
  <c r="I51" i="1"/>
  <c r="M50" i="1"/>
  <c r="R49" i="1"/>
  <c r="Q49" i="1"/>
  <c r="P49" i="1"/>
  <c r="O49" i="1"/>
  <c r="M49" i="1"/>
  <c r="L49" i="1"/>
  <c r="K49" i="1"/>
  <c r="J49" i="1"/>
  <c r="I49" i="1"/>
  <c r="M48" i="1"/>
  <c r="R47" i="1"/>
  <c r="Q47" i="1"/>
  <c r="P47" i="1"/>
  <c r="O47" i="1"/>
  <c r="M47" i="1"/>
  <c r="L47" i="1"/>
  <c r="K47" i="1"/>
  <c r="J47" i="1"/>
  <c r="I47" i="1"/>
  <c r="M46" i="1"/>
  <c r="M45" i="1"/>
  <c r="O44" i="1"/>
  <c r="L44" i="1"/>
  <c r="F44" i="1"/>
  <c r="P44" i="1" s="1"/>
  <c r="E44" i="1"/>
  <c r="J44" i="1" s="1"/>
  <c r="D44" i="1"/>
  <c r="D137" i="1" s="1"/>
  <c r="Q43" i="1"/>
  <c r="P43" i="1"/>
  <c r="O43" i="1"/>
  <c r="L43" i="1"/>
  <c r="K43" i="1"/>
  <c r="J43" i="1"/>
  <c r="I43" i="1"/>
  <c r="Q41" i="1"/>
  <c r="P41" i="1"/>
  <c r="O41" i="1"/>
  <c r="L41" i="1"/>
  <c r="K41" i="1"/>
  <c r="J41" i="1"/>
  <c r="I41" i="1"/>
  <c r="Q40" i="1"/>
  <c r="P40" i="1"/>
  <c r="O40" i="1"/>
  <c r="L40" i="1"/>
  <c r="K40" i="1"/>
  <c r="J40" i="1"/>
  <c r="I40" i="1"/>
  <c r="G39" i="1"/>
  <c r="L39" i="1" s="1"/>
  <c r="F39" i="1"/>
  <c r="E39" i="1"/>
  <c r="J39" i="1" s="1"/>
  <c r="D39" i="1"/>
  <c r="R38" i="1"/>
  <c r="Q38" i="1"/>
  <c r="P38" i="1"/>
  <c r="O38" i="1"/>
  <c r="M38" i="1"/>
  <c r="L38" i="1"/>
  <c r="K38" i="1"/>
  <c r="J38" i="1"/>
  <c r="I38" i="1"/>
  <c r="M34" i="1"/>
  <c r="M33" i="1"/>
  <c r="M32" i="1"/>
  <c r="G32" i="1"/>
  <c r="Q32" i="1" s="1"/>
  <c r="F32" i="1"/>
  <c r="P32" i="1" s="1"/>
  <c r="E32" i="1"/>
  <c r="O32" i="1" s="1"/>
  <c r="D32" i="1"/>
  <c r="R32" i="1" s="1"/>
  <c r="M31" i="1"/>
  <c r="M30" i="1"/>
  <c r="M29" i="1"/>
  <c r="R28" i="1"/>
  <c r="Q28" i="1"/>
  <c r="P28" i="1"/>
  <c r="O28" i="1"/>
  <c r="M28" i="1"/>
  <c r="M27" i="1"/>
  <c r="M26" i="1"/>
  <c r="M25" i="1"/>
  <c r="M24" i="1"/>
  <c r="G24" i="1"/>
  <c r="G117" i="1" s="1"/>
  <c r="F24" i="1"/>
  <c r="E24" i="1"/>
  <c r="O24" i="1" s="1"/>
  <c r="D24" i="1"/>
  <c r="M23" i="1"/>
  <c r="G23" i="1"/>
  <c r="F23" i="1"/>
  <c r="E23" i="1"/>
  <c r="D23" i="1"/>
  <c r="R23" i="1" s="1"/>
  <c r="M22" i="1"/>
  <c r="G22" i="1"/>
  <c r="G26" i="1" s="1"/>
  <c r="F22" i="1"/>
  <c r="E22" i="1"/>
  <c r="D22" i="1"/>
  <c r="R21" i="1"/>
  <c r="Q21" i="1"/>
  <c r="P21" i="1"/>
  <c r="O21" i="1"/>
  <c r="M21" i="1"/>
  <c r="M19" i="1"/>
  <c r="M18" i="1"/>
  <c r="M17" i="1"/>
  <c r="M16" i="1"/>
  <c r="M15" i="1"/>
  <c r="G15" i="1"/>
  <c r="F15" i="1"/>
  <c r="E15" i="1"/>
  <c r="D15" i="1"/>
  <c r="M14" i="1"/>
  <c r="R13" i="1"/>
  <c r="Q13" i="1"/>
  <c r="P13" i="1"/>
  <c r="O13" i="1"/>
  <c r="M13" i="1"/>
  <c r="R12" i="1"/>
  <c r="Q12" i="1"/>
  <c r="P12" i="1"/>
  <c r="O12" i="1"/>
  <c r="M12" i="1"/>
  <c r="M11" i="1"/>
  <c r="M10" i="1"/>
  <c r="G10" i="1"/>
  <c r="F10" i="1"/>
  <c r="E10" i="1"/>
  <c r="D10" i="1"/>
  <c r="M9" i="1"/>
  <c r="R8" i="1"/>
  <c r="Q8" i="1"/>
  <c r="P8" i="1"/>
  <c r="O8" i="1"/>
  <c r="M8" i="1"/>
  <c r="R7" i="1"/>
  <c r="Q7" i="1"/>
  <c r="P7" i="1"/>
  <c r="O7" i="1"/>
  <c r="M7" i="1"/>
  <c r="R6" i="1"/>
  <c r="Q6" i="1"/>
  <c r="P6" i="1"/>
  <c r="O6" i="1"/>
  <c r="M6" i="1"/>
  <c r="E42" i="1" l="1"/>
  <c r="J42" i="1" s="1"/>
  <c r="K44" i="1"/>
  <c r="E45" i="1"/>
  <c r="E46" i="1" s="1"/>
  <c r="D117" i="1"/>
  <c r="D45" i="1"/>
  <c r="Q39" i="1"/>
  <c r="F146" i="1"/>
  <c r="G112" i="1"/>
  <c r="F117" i="1"/>
  <c r="F45" i="1"/>
  <c r="I44" i="1"/>
  <c r="Q44" i="1"/>
  <c r="E26" i="1"/>
  <c r="R10" i="1"/>
  <c r="G108" i="1"/>
  <c r="G17" i="1"/>
  <c r="G19" i="1" s="1"/>
  <c r="Q15" i="1"/>
  <c r="E34" i="1"/>
  <c r="J26" i="1" s="1"/>
  <c r="D46" i="1"/>
  <c r="O46" i="1" s="1"/>
  <c r="R45" i="1"/>
  <c r="I45" i="1"/>
  <c r="O10" i="1"/>
  <c r="D108" i="1"/>
  <c r="D17" i="1"/>
  <c r="O15" i="1"/>
  <c r="F26" i="1"/>
  <c r="P10" i="1"/>
  <c r="E168" i="1"/>
  <c r="E108" i="1"/>
  <c r="E17" i="1"/>
  <c r="E19" i="1" s="1"/>
  <c r="P15" i="1"/>
  <c r="G34" i="1"/>
  <c r="L26" i="1"/>
  <c r="E160" i="1"/>
  <c r="E165" i="1" s="1"/>
  <c r="E112" i="1"/>
  <c r="R24" i="1"/>
  <c r="P45" i="1"/>
  <c r="K45" i="1"/>
  <c r="F46" i="1"/>
  <c r="Q10" i="1"/>
  <c r="F168" i="1"/>
  <c r="F108" i="1"/>
  <c r="R15" i="1"/>
  <c r="F17" i="1"/>
  <c r="D26" i="1"/>
  <c r="O26" i="1" s="1"/>
  <c r="F160" i="1"/>
  <c r="F165" i="1" s="1"/>
  <c r="O23" i="1"/>
  <c r="J46" i="1"/>
  <c r="E136" i="1"/>
  <c r="E118" i="1"/>
  <c r="E100" i="1"/>
  <c r="E48" i="1"/>
  <c r="L23" i="1"/>
  <c r="Q23" i="1"/>
  <c r="P24" i="1"/>
  <c r="I39" i="1"/>
  <c r="O39" i="1"/>
  <c r="G42" i="1"/>
  <c r="G45" i="1"/>
  <c r="D112" i="1"/>
  <c r="E137" i="1"/>
  <c r="J22" i="1"/>
  <c r="L24" i="1"/>
  <c r="Q24" i="1"/>
  <c r="L32" i="1"/>
  <c r="P39" i="1"/>
  <c r="D42" i="1"/>
  <c r="I42" i="1" s="1"/>
  <c r="E117" i="1"/>
  <c r="F137" i="1"/>
  <c r="K39" i="1"/>
  <c r="J45" i="1"/>
  <c r="O45" i="1"/>
  <c r="F112" i="1"/>
  <c r="L22" i="1"/>
  <c r="P23" i="1"/>
  <c r="J24" i="1"/>
  <c r="J32" i="1"/>
  <c r="F42" i="1"/>
  <c r="L15" i="1" l="1"/>
  <c r="L10" i="1"/>
  <c r="E138" i="1"/>
  <c r="E147" i="1" s="1"/>
  <c r="E151" i="1" s="1"/>
  <c r="J19" i="1"/>
  <c r="E35" i="1"/>
  <c r="E123" i="1"/>
  <c r="E78" i="1"/>
  <c r="J16" i="1"/>
  <c r="J18" i="1"/>
  <c r="J12" i="1"/>
  <c r="J8" i="1"/>
  <c r="J11" i="1"/>
  <c r="J7" i="1"/>
  <c r="J14" i="1"/>
  <c r="J6" i="1"/>
  <c r="J13" i="1"/>
  <c r="J9" i="1"/>
  <c r="J10" i="1"/>
  <c r="J15" i="1"/>
  <c r="F105" i="1"/>
  <c r="P17" i="1"/>
  <c r="F136" i="1"/>
  <c r="F138" i="1" s="1"/>
  <c r="F147" i="1" s="1"/>
  <c r="F151" i="1" s="1"/>
  <c r="F118" i="1"/>
  <c r="F100" i="1"/>
  <c r="F48" i="1"/>
  <c r="P46" i="1"/>
  <c r="K46" i="1"/>
  <c r="G128" i="1"/>
  <c r="G81" i="1"/>
  <c r="G80" i="1"/>
  <c r="L34" i="1"/>
  <c r="L30" i="1"/>
  <c r="L33" i="1"/>
  <c r="L29" i="1"/>
  <c r="L28" i="1"/>
  <c r="L31" i="1"/>
  <c r="L27" i="1"/>
  <c r="L25" i="1"/>
  <c r="L21" i="1"/>
  <c r="F19" i="1"/>
  <c r="F77" i="1" s="1"/>
  <c r="D105" i="1"/>
  <c r="R17" i="1"/>
  <c r="G46" i="1"/>
  <c r="Q45" i="1"/>
  <c r="L45" i="1"/>
  <c r="F34" i="1"/>
  <c r="K26" i="1" s="1"/>
  <c r="P26" i="1"/>
  <c r="K42" i="1"/>
  <c r="P42" i="1"/>
  <c r="E83" i="1"/>
  <c r="E158" i="1"/>
  <c r="G105" i="1"/>
  <c r="G77" i="1"/>
  <c r="Q17" i="1"/>
  <c r="L17" i="1"/>
  <c r="D19" i="1"/>
  <c r="D77" i="1" s="1"/>
  <c r="Q42" i="1"/>
  <c r="L42" i="1"/>
  <c r="O42" i="1"/>
  <c r="E50" i="1"/>
  <c r="E115" i="1"/>
  <c r="E97" i="1"/>
  <c r="E82" i="1" s="1"/>
  <c r="E79" i="1"/>
  <c r="J48" i="1"/>
  <c r="D34" i="1"/>
  <c r="Q34" i="1" s="1"/>
  <c r="R26" i="1"/>
  <c r="G123" i="1"/>
  <c r="G78" i="1"/>
  <c r="Q19" i="1"/>
  <c r="L19" i="1"/>
  <c r="L18" i="1"/>
  <c r="L14" i="1"/>
  <c r="L6" i="1"/>
  <c r="L13" i="1"/>
  <c r="L9" i="1"/>
  <c r="L16" i="1"/>
  <c r="L12" i="1"/>
  <c r="L8" i="1"/>
  <c r="L11" i="1"/>
  <c r="L7" i="1"/>
  <c r="Q26" i="1"/>
  <c r="E105" i="1"/>
  <c r="E77" i="1"/>
  <c r="O17" i="1"/>
  <c r="J17" i="1"/>
  <c r="R46" i="1"/>
  <c r="I46" i="1"/>
  <c r="D136" i="1"/>
  <c r="D138" i="1" s="1"/>
  <c r="D147" i="1" s="1"/>
  <c r="D151" i="1" s="1"/>
  <c r="D118" i="1"/>
  <c r="D100" i="1"/>
  <c r="D48" i="1"/>
  <c r="O48" i="1" s="1"/>
  <c r="J28" i="1"/>
  <c r="J31" i="1"/>
  <c r="E128" i="1"/>
  <c r="E81" i="1"/>
  <c r="E80" i="1"/>
  <c r="O34" i="1"/>
  <c r="J34" i="1"/>
  <c r="J30" i="1"/>
  <c r="J33" i="1"/>
  <c r="J29" i="1"/>
  <c r="J25" i="1"/>
  <c r="J21" i="1"/>
  <c r="J27" i="1"/>
  <c r="J23" i="1"/>
  <c r="I26" i="1" l="1"/>
  <c r="J50" i="1"/>
  <c r="E94" i="1"/>
  <c r="E52" i="1"/>
  <c r="D35" i="1"/>
  <c r="I18" i="1"/>
  <c r="D123" i="1"/>
  <c r="D78" i="1"/>
  <c r="I13" i="1"/>
  <c r="I9" i="1"/>
  <c r="I19" i="1"/>
  <c r="I12" i="1"/>
  <c r="I8" i="1"/>
  <c r="I11" i="1"/>
  <c r="I7" i="1"/>
  <c r="R19" i="1"/>
  <c r="I16" i="1"/>
  <c r="I14" i="1"/>
  <c r="I6" i="1"/>
  <c r="I15" i="1"/>
  <c r="I10" i="1"/>
  <c r="I33" i="1"/>
  <c r="I29" i="1"/>
  <c r="I25" i="1"/>
  <c r="I21" i="1"/>
  <c r="I31" i="1"/>
  <c r="I27" i="1"/>
  <c r="D128" i="1"/>
  <c r="D81" i="1"/>
  <c r="D80" i="1"/>
  <c r="R34" i="1"/>
  <c r="I34" i="1"/>
  <c r="I30" i="1"/>
  <c r="I28" i="1"/>
  <c r="I22" i="1"/>
  <c r="I24" i="1"/>
  <c r="I32" i="1"/>
  <c r="I23" i="1"/>
  <c r="G118" i="1"/>
  <c r="G100" i="1"/>
  <c r="G48" i="1"/>
  <c r="Q46" i="1"/>
  <c r="L46" i="1"/>
  <c r="F83" i="1"/>
  <c r="F158" i="1"/>
  <c r="D158" i="1"/>
  <c r="D83" i="1"/>
  <c r="D50" i="1"/>
  <c r="D115" i="1"/>
  <c r="D97" i="1"/>
  <c r="D82" i="1" s="1"/>
  <c r="D79" i="1"/>
  <c r="R48" i="1"/>
  <c r="I48" i="1"/>
  <c r="E85" i="1"/>
  <c r="K31" i="1"/>
  <c r="K27" i="1"/>
  <c r="F128" i="1"/>
  <c r="F81" i="1"/>
  <c r="F80" i="1"/>
  <c r="P34" i="1"/>
  <c r="K34" i="1"/>
  <c r="K30" i="1"/>
  <c r="K33" i="1"/>
  <c r="K29" i="1"/>
  <c r="K25" i="1"/>
  <c r="K21" i="1"/>
  <c r="K28" i="1"/>
  <c r="K22" i="1"/>
  <c r="K24" i="1"/>
  <c r="K32" i="1"/>
  <c r="K23" i="1"/>
  <c r="I17" i="1"/>
  <c r="K18" i="1"/>
  <c r="F123" i="1"/>
  <c r="F78" i="1"/>
  <c r="K16" i="1"/>
  <c r="P19" i="1"/>
  <c r="K19" i="1"/>
  <c r="K11" i="1"/>
  <c r="K7" i="1"/>
  <c r="K14" i="1"/>
  <c r="K6" i="1"/>
  <c r="K13" i="1"/>
  <c r="K9" i="1"/>
  <c r="K12" i="1"/>
  <c r="K8" i="1"/>
  <c r="K10" i="1"/>
  <c r="K15" i="1"/>
  <c r="F115" i="1"/>
  <c r="F97" i="1"/>
  <c r="F82" i="1" s="1"/>
  <c r="F79" i="1"/>
  <c r="P48" i="1"/>
  <c r="K48" i="1"/>
  <c r="F50" i="1"/>
  <c r="K17" i="1"/>
  <c r="O19" i="1"/>
  <c r="F85" i="1" l="1"/>
  <c r="D85" i="1"/>
  <c r="F94" i="1"/>
  <c r="F52" i="1"/>
  <c r="P50" i="1"/>
  <c r="K50" i="1"/>
  <c r="G115" i="1"/>
  <c r="G97" i="1"/>
  <c r="G82" i="1" s="1"/>
  <c r="G79" i="1"/>
  <c r="Q48" i="1"/>
  <c r="L48" i="1"/>
  <c r="G50" i="1"/>
  <c r="R50" i="1"/>
  <c r="I50" i="1"/>
  <c r="D94" i="1"/>
  <c r="D52" i="1"/>
  <c r="O50" i="1"/>
  <c r="E54" i="1"/>
  <c r="J52" i="1"/>
  <c r="J54" i="1" l="1"/>
  <c r="E56" i="1"/>
  <c r="D54" i="1"/>
  <c r="R52" i="1"/>
  <c r="I52" i="1"/>
  <c r="G94" i="1"/>
  <c r="G52" i="1"/>
  <c r="Q50" i="1"/>
  <c r="L50" i="1"/>
  <c r="P52" i="1"/>
  <c r="K52" i="1"/>
  <c r="F54" i="1"/>
  <c r="O52" i="1"/>
  <c r="J56" i="1" l="1"/>
  <c r="E58" i="1"/>
  <c r="F56" i="1"/>
  <c r="P54" i="1"/>
  <c r="K54" i="1"/>
  <c r="Q52" i="1"/>
  <c r="L52" i="1"/>
  <c r="G54" i="1"/>
  <c r="R54" i="1"/>
  <c r="I54" i="1"/>
  <c r="D56" i="1"/>
  <c r="O54" i="1"/>
  <c r="J58" i="1" l="1"/>
  <c r="D58" i="1"/>
  <c r="R56" i="1"/>
  <c r="I56" i="1"/>
  <c r="P56" i="1"/>
  <c r="K56" i="1"/>
  <c r="F58" i="1"/>
  <c r="G56" i="1"/>
  <c r="Q54" i="1"/>
  <c r="L54" i="1"/>
  <c r="O56" i="1"/>
  <c r="P58" i="1" l="1"/>
  <c r="K58" i="1"/>
  <c r="R58" i="1"/>
  <c r="I58" i="1"/>
  <c r="Q56" i="1"/>
  <c r="L56" i="1"/>
  <c r="G58" i="1"/>
  <c r="O58" i="1"/>
  <c r="G83" i="1" l="1"/>
  <c r="G85" i="1" s="1"/>
  <c r="Q58" i="1"/>
  <c r="L58" i="1"/>
</calcChain>
</file>

<file path=xl/sharedStrings.xml><?xml version="1.0" encoding="utf-8"?>
<sst xmlns="http://schemas.openxmlformats.org/spreadsheetml/2006/main" count="178" uniqueCount="154">
  <si>
    <t>Tab. 1 - Scarponi spa   Modello di riclassificazione del bilancio per il calcolo dello Z-score</t>
  </si>
  <si>
    <t>Valori di bilancio</t>
  </si>
  <si>
    <t>indici  di   composizione</t>
  </si>
  <si>
    <t>indici  di  andamento</t>
  </si>
  <si>
    <t>.</t>
  </si>
  <si>
    <t>Sintesi dati di bilancio</t>
  </si>
  <si>
    <t>migliaia di euro</t>
  </si>
  <si>
    <t>Dic. 31</t>
  </si>
  <si>
    <t>Mar 31</t>
  </si>
  <si>
    <t>Imm.ni immateriali</t>
  </si>
  <si>
    <t>Imm. tecniche nette</t>
  </si>
  <si>
    <t>Imm.ni finanziarie</t>
  </si>
  <si>
    <t xml:space="preserve"> Totale attivo immobilizzato</t>
  </si>
  <si>
    <t>Scorte</t>
  </si>
  <si>
    <t>Crediti comm.</t>
  </si>
  <si>
    <t>altre att. b.t.</t>
  </si>
  <si>
    <t xml:space="preserve">Cassa e titoli </t>
  </si>
  <si>
    <t xml:space="preserve"> Totale  attivo  corrente</t>
  </si>
  <si>
    <t>Attivo  netto</t>
  </si>
  <si>
    <t>Patrimonio  netto</t>
  </si>
  <si>
    <t>Fondi spese l.t.</t>
  </si>
  <si>
    <t>Debiti fin. l.t.</t>
  </si>
  <si>
    <t>Debiti fin b.t.</t>
  </si>
  <si>
    <t>Totale fonti fin.</t>
  </si>
  <si>
    <t>Debiti commerciali</t>
  </si>
  <si>
    <t>Debiti diversi</t>
  </si>
  <si>
    <t>Dividendi deliberati</t>
  </si>
  <si>
    <t>Totale passivo corrente</t>
  </si>
  <si>
    <t>Totale  patrimonio e debiti</t>
  </si>
  <si>
    <t>Vendite</t>
  </si>
  <si>
    <t>Consumi</t>
  </si>
  <si>
    <t>Servizi</t>
  </si>
  <si>
    <t>Godimento beni di terzi</t>
  </si>
  <si>
    <t>Valore aggiunto</t>
  </si>
  <si>
    <t>Costo del lavoro</t>
  </si>
  <si>
    <t>Ammortamenti e Acc.ti</t>
  </si>
  <si>
    <t>Spese operative</t>
  </si>
  <si>
    <t>Risultato operativo</t>
  </si>
  <si>
    <t>Altri proventi netti</t>
  </si>
  <si>
    <t>Risultato prima interessi</t>
  </si>
  <si>
    <t>Oneri finanziari netti</t>
  </si>
  <si>
    <t>Risultato prima imposte</t>
  </si>
  <si>
    <t xml:space="preserve">Imposte </t>
  </si>
  <si>
    <t>Risultato netto dopo imp.</t>
  </si>
  <si>
    <t>Risultato di comp. minoranze</t>
  </si>
  <si>
    <t>Utile netto corrente</t>
  </si>
  <si>
    <t>Risultato dell'esercizio</t>
  </si>
  <si>
    <t>Dividendi</t>
  </si>
  <si>
    <t>Risultato a nuovo</t>
  </si>
  <si>
    <t>Valutazione di mercato fine periodo</t>
  </si>
  <si>
    <t>n.q</t>
  </si>
  <si>
    <t>Rapporto Prezzo/Capitale netto x azione</t>
  </si>
  <si>
    <t>-</t>
  </si>
  <si>
    <t xml:space="preserve"> -</t>
  </si>
  <si>
    <t>* indici ragguagliati ad anno</t>
  </si>
  <si>
    <t>Tab. n. 3 -  Risultati dall'applicazione dello Z- score:</t>
  </si>
  <si>
    <t xml:space="preserve"> Z-score &gt; 2,99  = sopravvivenza;   &lt; 1,81 =  crisi</t>
  </si>
  <si>
    <t>definizione della funzione:</t>
  </si>
  <si>
    <t xml:space="preserve">Z = </t>
  </si>
  <si>
    <r>
      <t>X</t>
    </r>
    <r>
      <rPr>
        <b/>
        <vertAlign val="subscript"/>
        <sz val="12"/>
        <rFont val="Helv"/>
      </rPr>
      <t>1</t>
    </r>
    <r>
      <rPr>
        <b/>
        <sz val="12"/>
        <rFont val="Helv"/>
      </rPr>
      <t xml:space="preserve">  +</t>
    </r>
  </si>
  <si>
    <t>X2   +</t>
  </si>
  <si>
    <t>X3   +</t>
  </si>
  <si>
    <t>X4</t>
  </si>
  <si>
    <t>X1   =</t>
  </si>
  <si>
    <t>capitale circolante netto/attivo netto</t>
  </si>
  <si>
    <t>X5</t>
  </si>
  <si>
    <t>X2   =</t>
  </si>
  <si>
    <t>patrimonio netto/attivo netto</t>
  </si>
  <si>
    <t>X3   =</t>
  </si>
  <si>
    <t>reddito operativo/attivo netto</t>
  </si>
  <si>
    <t>X6</t>
  </si>
  <si>
    <t>X4   =</t>
  </si>
  <si>
    <t>patrimonio netto*/debiti totali</t>
  </si>
  <si>
    <t>X7</t>
  </si>
  <si>
    <t>X5 =</t>
  </si>
  <si>
    <t>vendite/attivo totale</t>
  </si>
  <si>
    <t>X6 =</t>
  </si>
  <si>
    <t>(roi- i)/Roi</t>
  </si>
  <si>
    <t>X7 =</t>
  </si>
  <si>
    <t>autofinanziamento/fatturato</t>
  </si>
  <si>
    <t>applicazione della funzione:            anni</t>
  </si>
  <si>
    <t>X5  =</t>
  </si>
  <si>
    <t>risultato del calcolo</t>
  </si>
  <si>
    <t>Z  =</t>
  </si>
  <si>
    <t>Tab. n. 2 -  4 anni di indici</t>
  </si>
  <si>
    <t>12 mesi</t>
  </si>
  <si>
    <t>3 mesi</t>
  </si>
  <si>
    <t>Indici</t>
  </si>
  <si>
    <t>definizione</t>
  </si>
  <si>
    <t xml:space="preserve"> dic. 2000</t>
  </si>
  <si>
    <t>dic.2001</t>
  </si>
  <si>
    <t xml:space="preserve"> dic 2002</t>
  </si>
  <si>
    <t>mar. 2003</t>
  </si>
  <si>
    <t>redditività</t>
  </si>
  <si>
    <t>Roe</t>
  </si>
  <si>
    <t>risultato ante imposte</t>
  </si>
  <si>
    <t>capitale e riserve</t>
  </si>
  <si>
    <t xml:space="preserve">Roi </t>
  </si>
  <si>
    <t>risultato operativo</t>
  </si>
  <si>
    <t>capitale investito netto</t>
  </si>
  <si>
    <t>Ros</t>
  </si>
  <si>
    <t>vendite</t>
  </si>
  <si>
    <t>liquidità</t>
  </si>
  <si>
    <t>indice corrente</t>
  </si>
  <si>
    <t>attivo corrente</t>
  </si>
  <si>
    <t>passivo corrente</t>
  </si>
  <si>
    <t>acid test</t>
  </si>
  <si>
    <t>attivo liquido</t>
  </si>
  <si>
    <t>solvibilità</t>
  </si>
  <si>
    <t>indebitamento</t>
  </si>
  <si>
    <t xml:space="preserve">Debiti finanziari </t>
  </si>
  <si>
    <t>Capitale e riserve</t>
  </si>
  <si>
    <t>copertura interessi</t>
  </si>
  <si>
    <t>Risultato pr.int.e imp.</t>
  </si>
  <si>
    <t>interessi passivi</t>
  </si>
  <si>
    <t>costo del debito</t>
  </si>
  <si>
    <t>Capacità di servire il debito</t>
  </si>
  <si>
    <t>cash flow</t>
  </si>
  <si>
    <t>debiti totali fin.</t>
  </si>
  <si>
    <t>struttura</t>
  </si>
  <si>
    <t>Patrimonio netto tangibile</t>
  </si>
  <si>
    <t xml:space="preserve">Patrimonio netto - attività intangibili </t>
  </si>
  <si>
    <t>attivo netto - attività intangibili</t>
  </si>
  <si>
    <t>efficienza</t>
  </si>
  <si>
    <t>turnover</t>
  </si>
  <si>
    <t>ricavi</t>
  </si>
  <si>
    <t>totale attivo</t>
  </si>
  <si>
    <t>rotazione magazzino</t>
  </si>
  <si>
    <t>scorte</t>
  </si>
  <si>
    <t>Tab. 4. Analisi del rendiconto finanziario</t>
  </si>
  <si>
    <t>Reddito  operativo</t>
  </si>
  <si>
    <t>Ammortamenti e acc. netti</t>
  </si>
  <si>
    <t>variazione crediti commerciali</t>
  </si>
  <si>
    <t>variazione scorte</t>
  </si>
  <si>
    <t>variazione crediti diversi</t>
  </si>
  <si>
    <t xml:space="preserve">variazione debiti commerciali </t>
  </si>
  <si>
    <t>variazione debiti diversi</t>
  </si>
  <si>
    <t>variazione capitale d'esercizio</t>
  </si>
  <si>
    <t>flusso di cassa operativo</t>
  </si>
  <si>
    <t>proventi (oneri) straordinari</t>
  </si>
  <si>
    <t>imposte</t>
  </si>
  <si>
    <t>flusso netto di cassa gestione corrente</t>
  </si>
  <si>
    <t>Investimenti netti  immobilizz. tecniche</t>
  </si>
  <si>
    <t>Investimenti netti nelle attività immateriali</t>
  </si>
  <si>
    <t>Investimenti netti immobilizz. Finanziarie</t>
  </si>
  <si>
    <t>flusso di cassa generato (assorbito) dalla attvità di investimento</t>
  </si>
  <si>
    <t>free cash flow</t>
  </si>
  <si>
    <t>Assunzione nuovi finanziamenti</t>
  </si>
  <si>
    <t>Rimborso di finanziamenti</t>
  </si>
  <si>
    <t>Movimenti di patrimonio netto</t>
  </si>
  <si>
    <t>flusso di cassa  dall'attività finanziaria</t>
  </si>
  <si>
    <t>variazioni altre attività e  passività m/l termine</t>
  </si>
  <si>
    <t>Flusso netto di liquidità</t>
  </si>
  <si>
    <t>(Oneri) Proventi straordinari 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</si>
</sst>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#,##0.0_);\(#,##0.0\)"/>
    <numFmt numFmtId="165" formatCode="0_)"/>
    <numFmt numFmtId="166" formatCode="0.0%"/>
    <numFmt numFmtId="167" formatCode="#,##0;\(#,##0\)"/>
    <numFmt numFmtId="168" formatCode="#,##0.0;\(#,##0.0\)"/>
    <numFmt numFmtId="169" formatCode="_-* #,##0.000_-;\-* #,##0.000_-;_-* &quot;-&quot;_-;_-@_-"/>
    <numFmt numFmtId="170" formatCode="#,##0.000_);\(#,##0.000\)"/>
    <numFmt numFmtId="171" formatCode="#,##0.0000_);\(#,##0.0000\)"/>
  </numFmts>
  <fonts count="9" x14ac:knownFonts="1">
    <font>
      <sz val="10"/>
      <name val="Courier"/>
    </font>
    <font>
      <b/>
      <sz val="12"/>
      <name val="Helv"/>
    </font>
    <font>
      <b/>
      <sz val="10"/>
      <name val="Courier"/>
    </font>
    <font>
      <b/>
      <sz val="10"/>
      <name val="Helv"/>
    </font>
    <font>
      <sz val="10"/>
      <name val="Arial"/>
      <family val="2"/>
    </font>
    <font>
      <b/>
      <i/>
      <sz val="12"/>
      <name val="Helv"/>
    </font>
    <font>
      <b/>
      <vertAlign val="subscript"/>
      <sz val="12"/>
      <name val="Helv"/>
    </font>
    <font>
      <sz val="12"/>
      <name val="Helv"/>
    </font>
    <font>
      <b/>
      <i/>
      <u/>
      <sz val="12"/>
      <name val="Helv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164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Font="1"/>
    <xf numFmtId="164" fontId="2" fillId="0" borderId="0" xfId="0" applyFont="1"/>
    <xf numFmtId="164" fontId="1" fillId="0" borderId="1" xfId="0" applyNumberFormat="1" applyFont="1" applyBorder="1" applyProtection="1"/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Protection="1"/>
    <xf numFmtId="164" fontId="1" fillId="0" borderId="0" xfId="0" applyFont="1" applyAlignment="1">
      <alignment horizontal="left"/>
    </xf>
    <xf numFmtId="165" fontId="1" fillId="0" borderId="4" xfId="0" applyNumberFormat="1" applyFont="1" applyBorder="1" applyProtection="1"/>
    <xf numFmtId="164" fontId="1" fillId="0" borderId="4" xfId="0" applyNumberFormat="1" applyFont="1" applyBorder="1" applyAlignment="1" applyProtection="1">
      <alignment horizontal="left"/>
    </xf>
    <xf numFmtId="164" fontId="1" fillId="0" borderId="3" xfId="0" applyFont="1" applyBorder="1"/>
    <xf numFmtId="41" fontId="1" fillId="0" borderId="3" xfId="1" applyFont="1" applyBorder="1" applyProtection="1"/>
    <xf numFmtId="166" fontId="1" fillId="0" borderId="1" xfId="0" applyNumberFormat="1" applyFont="1" applyBorder="1" applyProtection="1"/>
    <xf numFmtId="166" fontId="1" fillId="0" borderId="2" xfId="0" applyNumberFormat="1" applyFont="1" applyBorder="1" applyProtection="1"/>
    <xf numFmtId="37" fontId="1" fillId="0" borderId="2" xfId="0" applyNumberFormat="1" applyFont="1" applyBorder="1" applyProtection="1"/>
    <xf numFmtId="167" fontId="1" fillId="0" borderId="3" xfId="1" applyNumberFormat="1" applyFont="1" applyBorder="1" applyProtection="1"/>
    <xf numFmtId="164" fontId="5" fillId="0" borderId="0" xfId="0" applyNumberFormat="1" applyFont="1" applyAlignment="1" applyProtection="1">
      <alignment horizontal="left"/>
    </xf>
    <xf numFmtId="167" fontId="5" fillId="0" borderId="3" xfId="1" applyNumberFormat="1" applyFont="1" applyBorder="1" applyProtection="1"/>
    <xf numFmtId="167" fontId="1" fillId="0" borderId="3" xfId="1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167" fontId="1" fillId="0" borderId="3" xfId="0" applyNumberFormat="1" applyFont="1" applyBorder="1" applyAlignment="1" applyProtection="1">
      <alignment horizontal="center"/>
    </xf>
    <xf numFmtId="168" fontId="1" fillId="0" borderId="3" xfId="0" applyNumberFormat="1" applyFont="1" applyBorder="1" applyProtection="1"/>
    <xf numFmtId="37" fontId="1" fillId="0" borderId="3" xfId="0" applyNumberFormat="1" applyFont="1" applyBorder="1" applyProtection="1"/>
    <xf numFmtId="164" fontId="1" fillId="0" borderId="5" xfId="0" applyFont="1" applyBorder="1"/>
    <xf numFmtId="167" fontId="1" fillId="0" borderId="5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37" fontId="1" fillId="0" borderId="5" xfId="0" applyNumberFormat="1" applyFont="1" applyBorder="1" applyProtection="1"/>
    <xf numFmtId="164" fontId="1" fillId="0" borderId="7" xfId="0" applyFont="1" applyBorder="1"/>
    <xf numFmtId="164" fontId="1" fillId="0" borderId="8" xfId="0" applyFont="1" applyBorder="1"/>
    <xf numFmtId="167" fontId="1" fillId="0" borderId="8" xfId="0" applyNumberFormat="1" applyFont="1" applyBorder="1" applyProtection="1"/>
    <xf numFmtId="164" fontId="1" fillId="0" borderId="8" xfId="0" applyNumberFormat="1" applyFont="1" applyBorder="1" applyProtection="1"/>
    <xf numFmtId="164" fontId="1" fillId="0" borderId="9" xfId="0" applyNumberFormat="1" applyFont="1" applyBorder="1" applyProtection="1"/>
    <xf numFmtId="164" fontId="1" fillId="0" borderId="10" xfId="0" applyFont="1" applyBorder="1"/>
    <xf numFmtId="164" fontId="1" fillId="0" borderId="0" xfId="0" applyFont="1" applyBorder="1"/>
    <xf numFmtId="167" fontId="1" fillId="0" borderId="0" xfId="1" applyNumberFormat="1" applyFont="1" applyBorder="1"/>
    <xf numFmtId="167" fontId="1" fillId="0" borderId="0" xfId="0" applyNumberFormat="1" applyFont="1" applyBorder="1"/>
    <xf numFmtId="164" fontId="1" fillId="0" borderId="11" xfId="0" applyFont="1" applyBorder="1"/>
    <xf numFmtId="164" fontId="1" fillId="0" borderId="10" xfId="0" applyFont="1" applyBorder="1" applyAlignment="1">
      <alignment horizontal="left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NumberFormat="1" applyFont="1" applyBorder="1" applyProtection="1"/>
    <xf numFmtId="39" fontId="1" fillId="0" borderId="0" xfId="0" applyNumberFormat="1" applyFont="1" applyBorder="1" applyAlignment="1" applyProtection="1">
      <alignment horizontal="left"/>
    </xf>
    <xf numFmtId="39" fontId="1" fillId="0" borderId="0" xfId="0" applyNumberFormat="1" applyFont="1" applyBorder="1" applyProtection="1"/>
    <xf numFmtId="164" fontId="0" fillId="0" borderId="0" xfId="0" applyBorder="1"/>
    <xf numFmtId="164" fontId="1" fillId="0" borderId="11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5" xfId="1" applyNumberFormat="1" applyFont="1" applyBorder="1" applyAlignment="1">
      <alignment horizontal="center"/>
    </xf>
    <xf numFmtId="169" fontId="1" fillId="0" borderId="0" xfId="1" applyNumberFormat="1" applyFont="1" applyBorder="1" applyProtection="1"/>
    <xf numFmtId="39" fontId="1" fillId="0" borderId="0" xfId="0" applyNumberFormat="1" applyFont="1" applyBorder="1"/>
    <xf numFmtId="170" fontId="1" fillId="0" borderId="0" xfId="0" applyNumberFormat="1" applyFont="1" applyBorder="1" applyProtection="1"/>
    <xf numFmtId="169" fontId="1" fillId="0" borderId="0" xfId="0" applyNumberFormat="1" applyFont="1" applyBorder="1" applyProtection="1"/>
    <xf numFmtId="164" fontId="1" fillId="0" borderId="0" xfId="0" applyFont="1" applyBorder="1" applyAlignment="1">
      <alignment horizontal="right"/>
    </xf>
    <xf numFmtId="164" fontId="1" fillId="0" borderId="12" xfId="0" applyFont="1" applyBorder="1"/>
    <xf numFmtId="164" fontId="1" fillId="0" borderId="13" xfId="0" applyFont="1" applyBorder="1"/>
    <xf numFmtId="164" fontId="1" fillId="0" borderId="9" xfId="0" applyFont="1" applyBorder="1"/>
    <xf numFmtId="164" fontId="1" fillId="0" borderId="10" xfId="0" applyFont="1" applyBorder="1" applyAlignment="1">
      <alignment horizontal="center"/>
    </xf>
    <xf numFmtId="164" fontId="1" fillId="0" borderId="14" xfId="0" applyNumberFormat="1" applyFont="1" applyBorder="1" applyAlignment="1" applyProtection="1">
      <alignment horizontal="left"/>
    </xf>
    <xf numFmtId="166" fontId="1" fillId="0" borderId="0" xfId="0" applyNumberFormat="1" applyFont="1" applyBorder="1" applyProtection="1"/>
    <xf numFmtId="166" fontId="1" fillId="0" borderId="11" xfId="0" applyNumberFormat="1" applyFont="1" applyBorder="1" applyProtection="1"/>
    <xf numFmtId="164" fontId="1" fillId="0" borderId="14" xfId="0" applyNumberFormat="1" applyFont="1" applyBorder="1" applyAlignment="1" applyProtection="1">
      <alignment horizontal="center"/>
    </xf>
    <xf numFmtId="166" fontId="1" fillId="0" borderId="0" xfId="0" applyNumberFormat="1" applyFont="1" applyProtection="1"/>
    <xf numFmtId="164" fontId="1" fillId="0" borderId="0" xfId="0" applyFont="1" applyBorder="1" applyAlignment="1">
      <alignment horizontal="center"/>
    </xf>
    <xf numFmtId="9" fontId="1" fillId="0" borderId="0" xfId="0" applyNumberFormat="1" applyFont="1" applyBorder="1" applyProtection="1"/>
    <xf numFmtId="9" fontId="1" fillId="0" borderId="11" xfId="0" applyNumberFormat="1" applyFont="1" applyBorder="1" applyProtection="1"/>
    <xf numFmtId="9" fontId="1" fillId="0" borderId="0" xfId="0" applyNumberFormat="1" applyFont="1" applyProtection="1"/>
    <xf numFmtId="166" fontId="1" fillId="0" borderId="0" xfId="2" applyNumberFormat="1" applyFont="1" applyBorder="1"/>
    <xf numFmtId="164" fontId="1" fillId="0" borderId="5" xfId="0" applyFont="1" applyBorder="1" applyAlignment="1">
      <alignment horizontal="center" vertical="center" wrapText="1"/>
    </xf>
    <xf numFmtId="166" fontId="1" fillId="0" borderId="0" xfId="2" applyNumberFormat="1" applyFont="1" applyBorder="1" applyProtection="1"/>
    <xf numFmtId="166" fontId="1" fillId="0" borderId="11" xfId="2" applyNumberFormat="1" applyFont="1" applyBorder="1" applyProtection="1"/>
    <xf numFmtId="164" fontId="0" fillId="0" borderId="10" xfId="0" applyBorder="1"/>
    <xf numFmtId="164" fontId="1" fillId="0" borderId="0" xfId="0" applyFont="1" applyBorder="1" applyAlignment="1">
      <alignment horizontal="center" vertical="center" wrapText="1"/>
    </xf>
    <xf numFmtId="164" fontId="0" fillId="0" borderId="11" xfId="0" applyBorder="1"/>
    <xf numFmtId="164" fontId="7" fillId="0" borderId="10" xfId="0" applyFont="1" applyBorder="1"/>
    <xf numFmtId="164" fontId="7" fillId="0" borderId="0" xfId="0" applyFont="1" applyBorder="1"/>
    <xf numFmtId="164" fontId="7" fillId="0" borderId="11" xfId="0" applyFont="1" applyBorder="1"/>
    <xf numFmtId="164" fontId="7" fillId="0" borderId="0" xfId="0" applyFont="1"/>
    <xf numFmtId="39" fontId="1" fillId="0" borderId="11" xfId="0" applyNumberFormat="1" applyFont="1" applyBorder="1" applyProtection="1"/>
    <xf numFmtId="39" fontId="1" fillId="0" borderId="0" xfId="0" applyNumberFormat="1" applyFont="1" applyProtection="1"/>
    <xf numFmtId="164" fontId="0" fillId="0" borderId="12" xfId="0" applyBorder="1"/>
    <xf numFmtId="164" fontId="0" fillId="0" borderId="5" xfId="0" applyBorder="1"/>
    <xf numFmtId="164" fontId="1" fillId="0" borderId="5" xfId="0" applyFont="1" applyBorder="1" applyAlignment="1">
      <alignment horizontal="center"/>
    </xf>
    <xf numFmtId="164" fontId="0" fillId="0" borderId="13" xfId="0" applyBorder="1"/>
    <xf numFmtId="164" fontId="1" fillId="0" borderId="7" xfId="0" applyFont="1" applyBorder="1" applyAlignment="1">
      <alignment horizontal="left"/>
    </xf>
    <xf numFmtId="164" fontId="1" fillId="0" borderId="7" xfId="0" applyFont="1" applyBorder="1" applyAlignment="1">
      <alignment horizontal="center" vertical="center" wrapText="1"/>
    </xf>
    <xf numFmtId="164" fontId="7" fillId="0" borderId="8" xfId="0" applyFont="1" applyBorder="1"/>
    <xf numFmtId="164" fontId="7" fillId="0" borderId="9" xfId="0" applyFont="1" applyBorder="1"/>
    <xf numFmtId="0" fontId="1" fillId="0" borderId="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1" xfId="0" applyNumberFormat="1" applyFont="1" applyBorder="1" applyAlignment="1">
      <alignment horizontal="right"/>
    </xf>
    <xf numFmtId="164" fontId="5" fillId="0" borderId="0" xfId="0" applyFont="1" applyBorder="1" applyAlignment="1">
      <alignment horizontal="left"/>
    </xf>
    <xf numFmtId="37" fontId="5" fillId="0" borderId="0" xfId="0" applyNumberFormat="1" applyFont="1" applyBorder="1" applyAlignment="1">
      <alignment horizontal="right"/>
    </xf>
    <xf numFmtId="37" fontId="5" fillId="0" borderId="11" xfId="0" applyNumberFormat="1" applyFont="1" applyBorder="1" applyAlignment="1">
      <alignment horizontal="right"/>
    </xf>
    <xf numFmtId="167" fontId="1" fillId="0" borderId="0" xfId="1" applyNumberFormat="1" applyFont="1" applyBorder="1" applyProtection="1"/>
    <xf numFmtId="171" fontId="1" fillId="0" borderId="0" xfId="0" applyNumberFormat="1" applyFont="1" applyBorder="1" applyAlignment="1">
      <alignment horizontal="left"/>
    </xf>
    <xf numFmtId="37" fontId="8" fillId="0" borderId="0" xfId="0" applyNumberFormat="1" applyFont="1" applyBorder="1" applyAlignment="1">
      <alignment horizontal="right"/>
    </xf>
    <xf numFmtId="37" fontId="8" fillId="0" borderId="11" xfId="0" applyNumberFormat="1" applyFont="1" applyBorder="1" applyAlignment="1">
      <alignment horizontal="right"/>
    </xf>
    <xf numFmtId="164" fontId="1" fillId="0" borderId="12" xfId="0" applyFont="1" applyBorder="1" applyAlignment="1">
      <alignment horizontal="left"/>
    </xf>
    <xf numFmtId="164" fontId="1" fillId="0" borderId="5" xfId="0" applyFont="1" applyBorder="1" applyAlignment="1">
      <alignment horizontal="left"/>
    </xf>
    <xf numFmtId="37" fontId="8" fillId="0" borderId="5" xfId="0" applyNumberFormat="1" applyFont="1" applyBorder="1" applyAlignment="1">
      <alignment horizontal="right"/>
    </xf>
    <xf numFmtId="37" fontId="8" fillId="0" borderId="13" xfId="0" applyNumberFormat="1" applyFont="1" applyBorder="1" applyAlignment="1">
      <alignment horizontal="right"/>
    </xf>
    <xf numFmtId="164" fontId="1" fillId="0" borderId="0" xfId="0" applyFont="1" applyBorder="1" applyAlignment="1">
      <alignment horizontal="right" wrapText="1"/>
    </xf>
    <xf numFmtId="164" fontId="1" fillId="0" borderId="10" xfId="0" applyFont="1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 wrapText="1"/>
    </xf>
    <xf numFmtId="164" fontId="1" fillId="0" borderId="0" xfId="0" applyNumberFormat="1" applyFont="1" applyAlignment="1" applyProtection="1">
      <alignment horizontal="left"/>
    </xf>
    <xf numFmtId="164" fontId="0" fillId="0" borderId="0" xfId="0" applyAlignment="1"/>
    <xf numFmtId="164" fontId="0" fillId="0" borderId="3" xfId="0" applyBorder="1" applyAlignment="1"/>
    <xf numFmtId="164" fontId="3" fillId="0" borderId="0" xfId="0" applyFont="1" applyAlignment="1">
      <alignment horizontal="right"/>
    </xf>
    <xf numFmtId="164" fontId="1" fillId="0" borderId="10" xfId="0" applyFont="1" applyBorder="1" applyAlignment="1">
      <alignment horizontal="center"/>
    </xf>
    <xf numFmtId="164" fontId="1" fillId="0" borderId="0" xfId="0" applyFont="1" applyBorder="1" applyAlignment="1">
      <alignment horizontal="center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227"/>
  <sheetViews>
    <sheetView showGridLines="0" showZeros="0" tabSelected="1"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6" sqref="A56"/>
    </sheetView>
  </sheetViews>
  <sheetFormatPr defaultColWidth="9.625" defaultRowHeight="12" x14ac:dyDescent="0.15"/>
  <cols>
    <col min="3" max="3" width="14.5" customWidth="1"/>
    <col min="4" max="5" width="10.625" customWidth="1"/>
    <col min="6" max="6" width="12.75" customWidth="1"/>
    <col min="7" max="7" width="10.625" customWidth="1"/>
    <col min="8" max="8" width="0.875" hidden="1" customWidth="1"/>
    <col min="13" max="13" width="0.25" customWidth="1"/>
    <col min="18" max="18" width="0.25" customWidth="1"/>
  </cols>
  <sheetData>
    <row r="1" spans="1:2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</row>
    <row r="2" spans="1:22" ht="15.75" x14ac:dyDescent="0.25">
      <c r="B2" s="2"/>
      <c r="C2" s="2"/>
      <c r="D2" s="2"/>
      <c r="E2" s="2" t="s">
        <v>1</v>
      </c>
      <c r="F2" s="2"/>
      <c r="G2" s="2"/>
      <c r="H2" s="2"/>
      <c r="I2" s="4"/>
      <c r="J2" s="5" t="s">
        <v>2</v>
      </c>
      <c r="K2" s="6"/>
      <c r="L2" s="6"/>
      <c r="M2" s="6"/>
      <c r="N2" s="6"/>
      <c r="O2" s="5" t="s">
        <v>3</v>
      </c>
      <c r="P2" s="6"/>
      <c r="Q2" s="6"/>
      <c r="R2" s="6"/>
      <c r="S2" s="3"/>
      <c r="T2" s="3"/>
      <c r="U2" s="3"/>
      <c r="V2" s="3"/>
    </row>
    <row r="3" spans="1:22" ht="15.75" x14ac:dyDescent="0.25">
      <c r="A3" s="2"/>
      <c r="B3" s="2"/>
      <c r="C3" s="2"/>
      <c r="D3" s="7" t="s">
        <v>4</v>
      </c>
      <c r="E3" s="2"/>
      <c r="F3" s="2"/>
      <c r="G3" s="2"/>
      <c r="H3" s="2"/>
      <c r="I3" s="4"/>
      <c r="J3" s="6"/>
      <c r="K3" s="6"/>
      <c r="L3" s="6"/>
      <c r="M3" s="6"/>
      <c r="N3" s="6"/>
      <c r="O3" s="6"/>
      <c r="P3" s="6"/>
      <c r="Q3" s="6"/>
      <c r="R3" s="6"/>
      <c r="S3" s="3"/>
      <c r="T3" s="3"/>
      <c r="U3" s="3"/>
      <c r="V3" s="3"/>
    </row>
    <row r="4" spans="1:22" ht="15.75" x14ac:dyDescent="0.25">
      <c r="A4" s="108" t="s">
        <v>5</v>
      </c>
      <c r="B4" s="109"/>
      <c r="C4" s="110"/>
      <c r="D4" s="8">
        <v>2000</v>
      </c>
      <c r="E4" s="8">
        <v>2001</v>
      </c>
      <c r="F4" s="8">
        <v>2002</v>
      </c>
      <c r="G4" s="8">
        <v>2003</v>
      </c>
      <c r="H4" s="8"/>
      <c r="I4" s="8">
        <v>2000</v>
      </c>
      <c r="J4" s="8">
        <v>2001</v>
      </c>
      <c r="K4" s="8">
        <v>2002</v>
      </c>
      <c r="L4" s="8">
        <v>2003</v>
      </c>
      <c r="M4" s="8">
        <v>1991</v>
      </c>
      <c r="N4" s="8">
        <v>2000</v>
      </c>
      <c r="O4" s="8">
        <v>2001</v>
      </c>
      <c r="P4" s="8">
        <v>2002</v>
      </c>
      <c r="Q4" s="8">
        <v>2003</v>
      </c>
      <c r="R4" s="8">
        <v>1991</v>
      </c>
      <c r="S4" s="3"/>
      <c r="T4" s="3"/>
      <c r="U4" s="3"/>
      <c r="V4" s="3"/>
    </row>
    <row r="5" spans="1:22" ht="15.75" x14ac:dyDescent="0.25">
      <c r="A5" s="111" t="s">
        <v>6</v>
      </c>
      <c r="B5" s="109"/>
      <c r="C5" s="110"/>
      <c r="D5" s="9" t="s">
        <v>7</v>
      </c>
      <c r="E5" s="9" t="s">
        <v>7</v>
      </c>
      <c r="F5" s="9" t="s">
        <v>7</v>
      </c>
      <c r="G5" s="9" t="s">
        <v>8</v>
      </c>
      <c r="H5" s="9"/>
      <c r="I5" s="9" t="s">
        <v>7</v>
      </c>
      <c r="J5" s="9" t="s">
        <v>7</v>
      </c>
      <c r="K5" s="9" t="s">
        <v>7</v>
      </c>
      <c r="L5" s="9" t="s">
        <v>8</v>
      </c>
      <c r="M5" s="9" t="s">
        <v>8</v>
      </c>
      <c r="N5" s="9" t="s">
        <v>7</v>
      </c>
      <c r="O5" s="9" t="s">
        <v>7</v>
      </c>
      <c r="P5" s="9" t="s">
        <v>7</v>
      </c>
      <c r="Q5" s="9" t="s">
        <v>8</v>
      </c>
      <c r="R5" s="9"/>
      <c r="S5" s="3"/>
      <c r="T5" s="3"/>
      <c r="U5" s="3"/>
      <c r="V5" s="3"/>
    </row>
    <row r="6" spans="1:22" ht="15.75" x14ac:dyDescent="0.25">
      <c r="A6" s="1" t="s">
        <v>9</v>
      </c>
      <c r="B6" s="2"/>
      <c r="C6" s="10"/>
      <c r="D6" s="11">
        <v>64176</v>
      </c>
      <c r="E6" s="11">
        <v>80540</v>
      </c>
      <c r="F6" s="11">
        <v>203902</v>
      </c>
      <c r="G6" s="11">
        <v>195212</v>
      </c>
      <c r="H6" s="11"/>
      <c r="I6" s="12">
        <f t="shared" ref="I6:I19" si="0">+D6/$D$19</f>
        <v>0.2692217337315837</v>
      </c>
      <c r="J6" s="13">
        <f t="shared" ref="J6:J19" si="1">+E6/$E$19</f>
        <v>0.2445200072864169</v>
      </c>
      <c r="K6" s="13">
        <f t="shared" ref="K6:K19" si="2">+F6/$F$19</f>
        <v>0.34716237130515765</v>
      </c>
      <c r="L6" s="13">
        <f t="shared" ref="L6:L19" si="3">+G6/$G$19</f>
        <v>0.36464505331111724</v>
      </c>
      <c r="M6" s="13" t="e">
        <f t="shared" ref="M6:M19" si="4">+H6/$H$19</f>
        <v>#DIV/0!</v>
      </c>
      <c r="N6" s="14">
        <v>100</v>
      </c>
      <c r="O6" s="14">
        <f>+E6/$D$6*100</f>
        <v>125.49862877088007</v>
      </c>
      <c r="P6" s="14">
        <f>+F6/$D$6*100</f>
        <v>317.72313637496887</v>
      </c>
      <c r="Q6" s="14">
        <f>+G6/$D$6*100</f>
        <v>304.18224881575668</v>
      </c>
      <c r="R6" s="14">
        <f>+H6/$D$6*100</f>
        <v>0</v>
      </c>
      <c r="S6" s="3"/>
      <c r="T6" s="3"/>
      <c r="U6" s="3"/>
      <c r="V6" s="3"/>
    </row>
    <row r="7" spans="1:22" ht="15.75" x14ac:dyDescent="0.25">
      <c r="A7" s="1" t="s">
        <v>10</v>
      </c>
      <c r="B7" s="2"/>
      <c r="C7" s="10"/>
      <c r="D7" s="11">
        <v>10880</v>
      </c>
      <c r="E7" s="11">
        <v>11349</v>
      </c>
      <c r="F7" s="11">
        <v>21669</v>
      </c>
      <c r="G7" s="11">
        <v>15894</v>
      </c>
      <c r="H7" s="11"/>
      <c r="I7" s="12">
        <f t="shared" si="0"/>
        <v>4.5642178742826459E-2</v>
      </c>
      <c r="J7" s="13">
        <f t="shared" si="1"/>
        <v>3.4455643937093931E-2</v>
      </c>
      <c r="K7" s="13">
        <f t="shared" si="2"/>
        <v>3.6893514648269565E-2</v>
      </c>
      <c r="L7" s="13">
        <f t="shared" si="3"/>
        <v>2.968909942691483E-2</v>
      </c>
      <c r="M7" s="13" t="e">
        <f t="shared" si="4"/>
        <v>#DIV/0!</v>
      </c>
      <c r="N7" s="14">
        <v>100</v>
      </c>
      <c r="O7" s="14">
        <f>E7/$D$7*100</f>
        <v>104.3106617647059</v>
      </c>
      <c r="P7" s="14">
        <f>F7/$D$7*100</f>
        <v>199.16360294117646</v>
      </c>
      <c r="Q7" s="14">
        <f>G7/$D$7*100</f>
        <v>146.08455882352942</v>
      </c>
      <c r="R7" s="14">
        <f>H7/$D$7*100</f>
        <v>0</v>
      </c>
      <c r="S7" s="3"/>
      <c r="T7" s="3"/>
      <c r="U7" s="3"/>
      <c r="V7" s="3"/>
    </row>
    <row r="8" spans="1:22" ht="15.75" x14ac:dyDescent="0.25">
      <c r="A8" s="1" t="s">
        <v>11</v>
      </c>
      <c r="B8" s="2"/>
      <c r="C8" s="10"/>
      <c r="D8" s="11">
        <v>3192</v>
      </c>
      <c r="E8" s="11">
        <v>2521</v>
      </c>
      <c r="F8" s="11">
        <v>3157</v>
      </c>
      <c r="G8" s="11">
        <v>3042</v>
      </c>
      <c r="H8" s="11"/>
      <c r="I8" s="12">
        <f t="shared" si="0"/>
        <v>1.3390609792932174E-2</v>
      </c>
      <c r="J8" s="13">
        <f t="shared" si="1"/>
        <v>7.653773756755116E-3</v>
      </c>
      <c r="K8" s="13">
        <f t="shared" si="2"/>
        <v>5.375090024670591E-3</v>
      </c>
      <c r="L8" s="13">
        <f t="shared" si="3"/>
        <v>5.6822851677787159E-3</v>
      </c>
      <c r="M8" s="13" t="e">
        <f t="shared" si="4"/>
        <v>#DIV/0!</v>
      </c>
      <c r="N8" s="14">
        <v>100</v>
      </c>
      <c r="O8" s="14">
        <f>E8/$D$8*100</f>
        <v>78.978696741854634</v>
      </c>
      <c r="P8" s="14">
        <f>F8/$D$8*100</f>
        <v>98.903508771929822</v>
      </c>
      <c r="Q8" s="14">
        <f>G8/$D$8*100</f>
        <v>95.300751879699249</v>
      </c>
      <c r="R8" s="14">
        <f>H8/$D$8*100</f>
        <v>0</v>
      </c>
      <c r="S8" s="3"/>
      <c r="T8" s="3"/>
      <c r="U8" s="3"/>
      <c r="V8" s="3"/>
    </row>
    <row r="9" spans="1:22" ht="15.75" x14ac:dyDescent="0.25">
      <c r="A9" s="2"/>
      <c r="B9" s="2"/>
      <c r="C9" s="10"/>
      <c r="D9" s="11"/>
      <c r="E9" s="11"/>
      <c r="F9" s="11"/>
      <c r="G9" s="11"/>
      <c r="H9" s="11"/>
      <c r="I9" s="12">
        <f t="shared" si="0"/>
        <v>0</v>
      </c>
      <c r="J9" s="13">
        <f t="shared" si="1"/>
        <v>0</v>
      </c>
      <c r="K9" s="13">
        <f t="shared" si="2"/>
        <v>0</v>
      </c>
      <c r="L9" s="13">
        <f t="shared" si="3"/>
        <v>0</v>
      </c>
      <c r="M9" s="13" t="e">
        <f t="shared" si="4"/>
        <v>#DIV/0!</v>
      </c>
      <c r="N9" s="6"/>
      <c r="O9" s="6"/>
      <c r="P9" s="6"/>
      <c r="Q9" s="6"/>
      <c r="R9" s="6"/>
      <c r="S9" s="3"/>
      <c r="T9" s="3"/>
      <c r="U9" s="3"/>
      <c r="V9" s="3"/>
    </row>
    <row r="10" spans="1:22" ht="15.75" x14ac:dyDescent="0.25">
      <c r="A10" s="1" t="s">
        <v>12</v>
      </c>
      <c r="B10" s="2"/>
      <c r="C10" s="10"/>
      <c r="D10" s="11">
        <f>SUM(D6:D8)</f>
        <v>78248</v>
      </c>
      <c r="E10" s="11">
        <f>SUM(E6:E8)</f>
        <v>94410</v>
      </c>
      <c r="F10" s="11">
        <f>SUM(F6:F8)</f>
        <v>228728</v>
      </c>
      <c r="G10" s="11">
        <f>SUM(G6:G8)</f>
        <v>214148</v>
      </c>
      <c r="H10" s="11"/>
      <c r="I10" s="12">
        <f t="shared" si="0"/>
        <v>0.32825452226734236</v>
      </c>
      <c r="J10" s="13">
        <f t="shared" si="1"/>
        <v>0.28662942498026595</v>
      </c>
      <c r="K10" s="13">
        <f t="shared" si="2"/>
        <v>0.38943097597809784</v>
      </c>
      <c r="L10" s="13">
        <f t="shared" si="3"/>
        <v>0.40001643790581082</v>
      </c>
      <c r="M10" s="13" t="e">
        <f t="shared" si="4"/>
        <v>#DIV/0!</v>
      </c>
      <c r="N10" s="14">
        <v>100</v>
      </c>
      <c r="O10" s="14">
        <f>+E10/$D$10*100</f>
        <v>120.6548410183008</v>
      </c>
      <c r="P10" s="14">
        <f>+F10/$D$10*100</f>
        <v>292.311624578264</v>
      </c>
      <c r="Q10" s="14">
        <f>+G10/$D$10*100</f>
        <v>273.67856047438914</v>
      </c>
      <c r="R10" s="14">
        <f>+H10/$D$10*100</f>
        <v>0</v>
      </c>
      <c r="S10" s="3"/>
      <c r="T10" s="3"/>
      <c r="U10" s="3"/>
      <c r="V10" s="3"/>
    </row>
    <row r="11" spans="1:22" ht="15.75" x14ac:dyDescent="0.25">
      <c r="A11" s="2"/>
      <c r="B11" s="2"/>
      <c r="C11" s="10"/>
      <c r="D11" s="11"/>
      <c r="E11" s="11"/>
      <c r="F11" s="11"/>
      <c r="G11" s="11"/>
      <c r="H11" s="11"/>
      <c r="I11" s="12">
        <f t="shared" si="0"/>
        <v>0</v>
      </c>
      <c r="J11" s="13">
        <f t="shared" si="1"/>
        <v>0</v>
      </c>
      <c r="K11" s="13">
        <f t="shared" si="2"/>
        <v>0</v>
      </c>
      <c r="L11" s="13">
        <f t="shared" si="3"/>
        <v>0</v>
      </c>
      <c r="M11" s="13" t="e">
        <f t="shared" si="4"/>
        <v>#DIV/0!</v>
      </c>
      <c r="N11" s="6"/>
      <c r="O11" s="6"/>
      <c r="P11" s="6"/>
      <c r="Q11" s="6"/>
      <c r="R11" s="6"/>
      <c r="S11" s="3"/>
      <c r="T11" s="3"/>
      <c r="U11" s="3"/>
      <c r="V11" s="3"/>
    </row>
    <row r="12" spans="1:22" ht="15.75" x14ac:dyDescent="0.25">
      <c r="A12" s="1" t="s">
        <v>13</v>
      </c>
      <c r="B12" s="2"/>
      <c r="C12" s="10"/>
      <c r="D12" s="11">
        <v>91896</v>
      </c>
      <c r="E12" s="11">
        <v>130805</v>
      </c>
      <c r="F12" s="11">
        <v>233020</v>
      </c>
      <c r="G12" s="11">
        <v>231389</v>
      </c>
      <c r="H12" s="11"/>
      <c r="I12" s="12">
        <f t="shared" si="0"/>
        <v>0.38550860824915262</v>
      </c>
      <c r="J12" s="13">
        <f t="shared" si="1"/>
        <v>0.39712490132977107</v>
      </c>
      <c r="K12" s="13">
        <f t="shared" si="2"/>
        <v>0.3967385104684007</v>
      </c>
      <c r="L12" s="13">
        <f t="shared" si="3"/>
        <v>0.43222165768808324</v>
      </c>
      <c r="M12" s="13" t="e">
        <f t="shared" si="4"/>
        <v>#DIV/0!</v>
      </c>
      <c r="N12" s="14">
        <v>100</v>
      </c>
      <c r="O12" s="14">
        <f>E12/$D$12*100</f>
        <v>142.34025420040047</v>
      </c>
      <c r="P12" s="14">
        <f>F12/$D$12*100</f>
        <v>253.56925219813701</v>
      </c>
      <c r="Q12" s="14">
        <f>G12/$D$12*100</f>
        <v>251.7944197788805</v>
      </c>
      <c r="R12" s="14">
        <f>H12/$D$12*100</f>
        <v>0</v>
      </c>
      <c r="S12" s="3"/>
      <c r="T12" s="3"/>
      <c r="U12" s="3"/>
      <c r="V12" s="3"/>
    </row>
    <row r="13" spans="1:22" ht="15.75" x14ac:dyDescent="0.25">
      <c r="A13" s="1" t="s">
        <v>14</v>
      </c>
      <c r="B13" s="2"/>
      <c r="C13" s="10"/>
      <c r="D13" s="11">
        <v>5621</v>
      </c>
      <c r="E13" s="11">
        <v>1535</v>
      </c>
      <c r="F13" s="11">
        <v>7205</v>
      </c>
      <c r="G13" s="11">
        <v>6928</v>
      </c>
      <c r="H13" s="11"/>
      <c r="I13" s="12">
        <f t="shared" si="0"/>
        <v>2.3580393999395911E-2</v>
      </c>
      <c r="J13" s="13">
        <f t="shared" si="1"/>
        <v>4.6602708118282836E-3</v>
      </c>
      <c r="K13" s="13">
        <f t="shared" si="2"/>
        <v>1.2267191519718595E-2</v>
      </c>
      <c r="L13" s="13">
        <f t="shared" si="3"/>
        <v>1.2941114938320494E-2</v>
      </c>
      <c r="M13" s="13" t="e">
        <f t="shared" si="4"/>
        <v>#DIV/0!</v>
      </c>
      <c r="N13" s="14">
        <v>100</v>
      </c>
      <c r="O13" s="14">
        <f>E13/$D$13*100</f>
        <v>27.308308130225939</v>
      </c>
      <c r="P13" s="14">
        <f>F13/$D$13*100</f>
        <v>128.18003913894324</v>
      </c>
      <c r="Q13" s="14">
        <f>G13/$D$13*100</f>
        <v>123.25209037537806</v>
      </c>
      <c r="R13" s="14">
        <f>H13/$D$13*100</f>
        <v>0</v>
      </c>
      <c r="S13" s="3"/>
      <c r="T13" s="3"/>
      <c r="U13" s="3"/>
      <c r="V13" s="3"/>
    </row>
    <row r="14" spans="1:22" ht="15.75" x14ac:dyDescent="0.25">
      <c r="A14" s="1" t="s">
        <v>15</v>
      </c>
      <c r="B14" s="2"/>
      <c r="C14" s="10"/>
      <c r="D14" s="11">
        <v>15432</v>
      </c>
      <c r="E14" s="11">
        <v>10740</v>
      </c>
      <c r="F14" s="11">
        <v>39013</v>
      </c>
      <c r="G14" s="11">
        <v>48538</v>
      </c>
      <c r="H14" s="11"/>
      <c r="I14" s="12">
        <f t="shared" si="0"/>
        <v>6.4738060878611947E-2</v>
      </c>
      <c r="J14" s="13">
        <f t="shared" si="1"/>
        <v>3.2606715647580303E-2</v>
      </c>
      <c r="K14" s="13">
        <f t="shared" si="2"/>
        <v>6.6423309196222288E-2</v>
      </c>
      <c r="L14" s="13">
        <f t="shared" si="3"/>
        <v>9.0666258209613187E-2</v>
      </c>
      <c r="M14" s="13" t="e">
        <f t="shared" si="4"/>
        <v>#DIV/0!</v>
      </c>
      <c r="N14" s="14"/>
      <c r="O14" s="14"/>
      <c r="P14" s="14"/>
      <c r="Q14" s="14"/>
      <c r="R14" s="14"/>
      <c r="S14" s="3"/>
      <c r="T14" s="3"/>
      <c r="U14" s="3"/>
      <c r="V14" s="3"/>
    </row>
    <row r="15" spans="1:22" ht="15.75" x14ac:dyDescent="0.25">
      <c r="A15" s="1" t="s">
        <v>16</v>
      </c>
      <c r="B15" s="2"/>
      <c r="C15" s="10"/>
      <c r="D15" s="11">
        <f>6026+41153</f>
        <v>47179</v>
      </c>
      <c r="E15" s="11">
        <f>13170+78720</f>
        <v>91890</v>
      </c>
      <c r="F15" s="11">
        <f>7471+71902</f>
        <v>79373</v>
      </c>
      <c r="G15" s="11">
        <f>7155+27190</f>
        <v>34345</v>
      </c>
      <c r="H15" s="11"/>
      <c r="I15" s="12">
        <f t="shared" si="0"/>
        <v>0.19791841460549719</v>
      </c>
      <c r="J15" s="13">
        <f t="shared" si="1"/>
        <v>0.27897868723055436</v>
      </c>
      <c r="K15" s="13">
        <f t="shared" si="2"/>
        <v>0.13514001283756058</v>
      </c>
      <c r="L15" s="13">
        <f t="shared" si="3"/>
        <v>6.4154531258172248E-2</v>
      </c>
      <c r="M15" s="13" t="e">
        <f t="shared" si="4"/>
        <v>#DIV/0!</v>
      </c>
      <c r="N15" s="14">
        <v>100</v>
      </c>
      <c r="O15" s="14">
        <f>E15/$D$15*100</f>
        <v>194.76885902626168</v>
      </c>
      <c r="P15" s="14">
        <f>F15/$D$15*100</f>
        <v>168.23798724008563</v>
      </c>
      <c r="Q15" s="14">
        <f>G15/$D$15*100</f>
        <v>72.797219101718994</v>
      </c>
      <c r="R15" s="14">
        <f>H15/$D$15*100</f>
        <v>0</v>
      </c>
      <c r="S15" s="3"/>
      <c r="T15" s="3"/>
      <c r="U15" s="3"/>
      <c r="V15" s="3"/>
    </row>
    <row r="16" spans="1:22" ht="15.75" x14ac:dyDescent="0.25">
      <c r="A16" s="2"/>
      <c r="B16" s="2"/>
      <c r="C16" s="10"/>
      <c r="D16" s="11"/>
      <c r="E16" s="11"/>
      <c r="F16" s="11"/>
      <c r="G16" s="11"/>
      <c r="H16" s="11"/>
      <c r="I16" s="12">
        <f t="shared" si="0"/>
        <v>0</v>
      </c>
      <c r="J16" s="13">
        <f t="shared" si="1"/>
        <v>0</v>
      </c>
      <c r="K16" s="13">
        <f t="shared" si="2"/>
        <v>0</v>
      </c>
      <c r="L16" s="13">
        <f t="shared" si="3"/>
        <v>0</v>
      </c>
      <c r="M16" s="13" t="e">
        <f t="shared" si="4"/>
        <v>#DIV/0!</v>
      </c>
      <c r="N16" s="6"/>
      <c r="O16" s="6"/>
      <c r="P16" s="6"/>
      <c r="Q16" s="6"/>
      <c r="R16" s="6"/>
      <c r="S16" s="3"/>
      <c r="T16" s="3"/>
      <c r="U16" s="3"/>
      <c r="V16" s="3"/>
    </row>
    <row r="17" spans="1:22" ht="15.75" x14ac:dyDescent="0.25">
      <c r="A17" s="1" t="s">
        <v>17</v>
      </c>
      <c r="B17" s="2"/>
      <c r="C17" s="10"/>
      <c r="D17" s="11">
        <f>SUM(D12:D15)</f>
        <v>160128</v>
      </c>
      <c r="E17" s="11">
        <f>SUM(E12:E15)</f>
        <v>234970</v>
      </c>
      <c r="F17" s="11">
        <f>SUM(F12:F15)</f>
        <v>358611</v>
      </c>
      <c r="G17" s="11">
        <f>SUM(G12:G15)</f>
        <v>321200</v>
      </c>
      <c r="H17" s="11"/>
      <c r="I17" s="12">
        <f t="shared" si="0"/>
        <v>0.67174547773265769</v>
      </c>
      <c r="J17" s="13">
        <f t="shared" si="1"/>
        <v>0.713370575019734</v>
      </c>
      <c r="K17" s="13">
        <f t="shared" si="2"/>
        <v>0.61056902402190216</v>
      </c>
      <c r="L17" s="13">
        <f t="shared" si="3"/>
        <v>0.59998356209418924</v>
      </c>
      <c r="M17" s="13" t="e">
        <f t="shared" si="4"/>
        <v>#DIV/0!</v>
      </c>
      <c r="N17" s="14">
        <v>100</v>
      </c>
      <c r="O17" s="14">
        <f>+E17/$D$17*100</f>
        <v>146.73885891286972</v>
      </c>
      <c r="P17" s="14">
        <f>+F17/$D$17*100</f>
        <v>223.95271282973619</v>
      </c>
      <c r="Q17" s="14">
        <f>+G17/$D$17*100</f>
        <v>200.58952837729817</v>
      </c>
      <c r="R17" s="14">
        <f>+H17/$D$17*100</f>
        <v>0</v>
      </c>
      <c r="S17" s="3"/>
      <c r="T17" s="3"/>
      <c r="U17" s="3"/>
      <c r="V17" s="3"/>
    </row>
    <row r="18" spans="1:22" ht="15.75" x14ac:dyDescent="0.25">
      <c r="A18" s="2"/>
      <c r="B18" s="2"/>
      <c r="C18" s="10"/>
      <c r="D18" s="11"/>
      <c r="E18" s="11"/>
      <c r="F18" s="11"/>
      <c r="G18" s="11"/>
      <c r="H18" s="11"/>
      <c r="I18" s="12">
        <f t="shared" si="0"/>
        <v>0</v>
      </c>
      <c r="J18" s="13">
        <f t="shared" si="1"/>
        <v>0</v>
      </c>
      <c r="K18" s="13">
        <f t="shared" si="2"/>
        <v>0</v>
      </c>
      <c r="L18" s="13">
        <f t="shared" si="3"/>
        <v>0</v>
      </c>
      <c r="M18" s="13" t="e">
        <f t="shared" si="4"/>
        <v>#DIV/0!</v>
      </c>
      <c r="N18" s="14"/>
      <c r="O18" s="6"/>
      <c r="P18" s="6"/>
      <c r="Q18" s="6"/>
      <c r="R18" s="6"/>
      <c r="S18" s="3"/>
      <c r="T18" s="3"/>
      <c r="U18" s="3"/>
      <c r="V18" s="3"/>
    </row>
    <row r="19" spans="1:22" ht="15.75" x14ac:dyDescent="0.25">
      <c r="A19" s="1" t="s">
        <v>18</v>
      </c>
      <c r="B19" s="2"/>
      <c r="C19" s="10"/>
      <c r="D19" s="11">
        <f>D10+D17</f>
        <v>238376</v>
      </c>
      <c r="E19" s="11">
        <f>E10+E17</f>
        <v>329380</v>
      </c>
      <c r="F19" s="11">
        <f>F10+F17</f>
        <v>587339</v>
      </c>
      <c r="G19" s="11">
        <f>G10+G17</f>
        <v>535348</v>
      </c>
      <c r="H19" s="11"/>
      <c r="I19" s="12">
        <f t="shared" si="0"/>
        <v>1</v>
      </c>
      <c r="J19" s="13">
        <f t="shared" si="1"/>
        <v>1</v>
      </c>
      <c r="K19" s="13">
        <f t="shared" si="2"/>
        <v>1</v>
      </c>
      <c r="L19" s="13">
        <f t="shared" si="3"/>
        <v>1</v>
      </c>
      <c r="M19" s="13" t="e">
        <f t="shared" si="4"/>
        <v>#DIV/0!</v>
      </c>
      <c r="N19" s="14">
        <v>100</v>
      </c>
      <c r="O19" s="14">
        <f>+E19/$D$19*100</f>
        <v>138.17666208007518</v>
      </c>
      <c r="P19" s="14">
        <f>+F19/$D$19*100</f>
        <v>246.39183474846459</v>
      </c>
      <c r="Q19" s="14">
        <f>+G19/$D$19*100</f>
        <v>224.58133369131122</v>
      </c>
      <c r="R19" s="14">
        <f>+H19/$D$19*100</f>
        <v>0</v>
      </c>
      <c r="S19" s="3"/>
      <c r="T19" s="3"/>
      <c r="U19" s="3"/>
      <c r="V19" s="3"/>
    </row>
    <row r="20" spans="1:22" ht="15.75" x14ac:dyDescent="0.25">
      <c r="A20" s="2"/>
      <c r="B20" s="2"/>
      <c r="C20" s="10"/>
      <c r="D20" s="11"/>
      <c r="E20" s="11"/>
      <c r="F20" s="11"/>
      <c r="G20" s="11"/>
      <c r="H20" s="11"/>
      <c r="I20" s="4"/>
      <c r="J20" s="6"/>
      <c r="K20" s="6"/>
      <c r="L20" s="6"/>
      <c r="M20" s="6"/>
      <c r="N20" s="14"/>
      <c r="O20" s="6"/>
      <c r="P20" s="6"/>
      <c r="Q20" s="6"/>
      <c r="R20" s="6"/>
      <c r="S20" s="3"/>
      <c r="T20" s="3"/>
      <c r="U20" s="3"/>
      <c r="V20" s="3"/>
    </row>
    <row r="21" spans="1:22" ht="15.75" x14ac:dyDescent="0.25">
      <c r="A21" s="1" t="s">
        <v>19</v>
      </c>
      <c r="B21" s="2"/>
      <c r="C21" s="10"/>
      <c r="D21" s="11">
        <v>33799</v>
      </c>
      <c r="E21" s="11">
        <v>60354</v>
      </c>
      <c r="F21" s="11">
        <v>56895</v>
      </c>
      <c r="G21" s="11">
        <v>40938</v>
      </c>
      <c r="H21" s="11"/>
      <c r="I21" s="12">
        <f t="shared" ref="I21:I34" si="5">+D21/$D$34</f>
        <v>0.1417886028794845</v>
      </c>
      <c r="J21" s="13">
        <f t="shared" ref="J21:J34" si="6">+E21/$E$34</f>
        <v>0.18323516910559232</v>
      </c>
      <c r="K21" s="13">
        <f t="shared" ref="K21:K34" si="7">+F21/$F$34</f>
        <v>9.6869099446827131E-2</v>
      </c>
      <c r="L21" s="13">
        <f t="shared" ref="L21:L34" si="8">+G21/$G$34</f>
        <v>7.6469885009377084E-2</v>
      </c>
      <c r="M21" s="13" t="e">
        <f t="shared" ref="M21:M34" si="9">+H21/$H$34</f>
        <v>#DIV/0!</v>
      </c>
      <c r="N21" s="14">
        <v>100</v>
      </c>
      <c r="O21" s="14">
        <f>+E21/$D$21*100</f>
        <v>178.567413237078</v>
      </c>
      <c r="P21" s="14">
        <f>+F21/$D$21*100</f>
        <v>168.33338264445695</v>
      </c>
      <c r="Q21" s="14">
        <f>+G21/$D$21*100</f>
        <v>121.12192668422144</v>
      </c>
      <c r="R21" s="14">
        <f>+H21/$D$21*100</f>
        <v>0</v>
      </c>
      <c r="S21" s="3"/>
      <c r="T21" s="3"/>
      <c r="U21" s="3"/>
      <c r="V21" s="3"/>
    </row>
    <row r="22" spans="1:22" ht="15.75" x14ac:dyDescent="0.25">
      <c r="A22" s="1" t="s">
        <v>20</v>
      </c>
      <c r="B22" s="2"/>
      <c r="C22" s="10"/>
      <c r="D22" s="11">
        <f>1914+2076</f>
        <v>3990</v>
      </c>
      <c r="E22" s="11">
        <f>2850+2603</f>
        <v>5453</v>
      </c>
      <c r="F22" s="11">
        <f>3004+5870</f>
        <v>8874</v>
      </c>
      <c r="G22" s="11">
        <f>3081+6115</f>
        <v>9196</v>
      </c>
      <c r="H22" s="11"/>
      <c r="I22" s="12">
        <f t="shared" si="5"/>
        <v>1.6738262241165217E-2</v>
      </c>
      <c r="J22" s="13">
        <f t="shared" si="6"/>
        <v>1.6555346408403667E-2</v>
      </c>
      <c r="K22" s="13">
        <f t="shared" si="7"/>
        <v>1.5108821311031619E-2</v>
      </c>
      <c r="L22" s="13">
        <f t="shared" si="8"/>
        <v>1.717761157228569E-2</v>
      </c>
      <c r="M22" s="13" t="e">
        <f t="shared" si="9"/>
        <v>#DIV/0!</v>
      </c>
      <c r="N22" s="14"/>
      <c r="O22" s="6"/>
      <c r="P22" s="6"/>
      <c r="Q22" s="6"/>
      <c r="R22" s="6"/>
      <c r="S22" s="3"/>
      <c r="T22" s="3"/>
      <c r="U22" s="3"/>
      <c r="V22" s="3"/>
    </row>
    <row r="23" spans="1:22" ht="15.75" x14ac:dyDescent="0.25">
      <c r="A23" s="1" t="s">
        <v>21</v>
      </c>
      <c r="B23" s="2"/>
      <c r="C23" s="10"/>
      <c r="D23" s="11">
        <f>6674+37263</f>
        <v>43937</v>
      </c>
      <c r="E23" s="11">
        <f>7716+64566</f>
        <v>72282</v>
      </c>
      <c r="F23" s="11">
        <f>13797+150432</f>
        <v>164229</v>
      </c>
      <c r="G23" s="11">
        <f>36987+12151+100000</f>
        <v>149138</v>
      </c>
      <c r="H23" s="11"/>
      <c r="I23" s="12">
        <f t="shared" si="5"/>
        <v>0.18431805215290128</v>
      </c>
      <c r="J23" s="13">
        <f t="shared" si="6"/>
        <v>0.21944866112089381</v>
      </c>
      <c r="K23" s="13">
        <f t="shared" si="7"/>
        <v>0.27961534990865583</v>
      </c>
      <c r="L23" s="13">
        <f t="shared" si="8"/>
        <v>0.27858140872852799</v>
      </c>
      <c r="M23" s="13" t="e">
        <f t="shared" si="9"/>
        <v>#DIV/0!</v>
      </c>
      <c r="N23" s="14">
        <v>100</v>
      </c>
      <c r="O23" s="14">
        <f>+E23/$D$23*100</f>
        <v>164.5128251815099</v>
      </c>
      <c r="P23" s="14">
        <f>+F23/$D$23*100</f>
        <v>373.7829164485513</v>
      </c>
      <c r="Q23" s="14">
        <f>+G23/$D$23*100</f>
        <v>339.43601065161482</v>
      </c>
      <c r="R23" s="14">
        <f>+H23/$D$23*100</f>
        <v>0</v>
      </c>
      <c r="S23" s="3"/>
      <c r="T23" s="3"/>
      <c r="U23" s="3"/>
      <c r="V23" s="3"/>
    </row>
    <row r="24" spans="1:22" ht="15.75" x14ac:dyDescent="0.25">
      <c r="A24" s="1" t="s">
        <v>22</v>
      </c>
      <c r="B24" s="2"/>
      <c r="C24" s="10"/>
      <c r="D24" s="11">
        <f>3878+38848</f>
        <v>42726</v>
      </c>
      <c r="E24" s="11">
        <f>4613+49986</f>
        <v>54599</v>
      </c>
      <c r="F24" s="11">
        <f>8005+84894</f>
        <v>92899</v>
      </c>
      <c r="G24" s="11">
        <f>75033+6908</f>
        <v>81941</v>
      </c>
      <c r="H24" s="11"/>
      <c r="I24" s="12">
        <f t="shared" si="5"/>
        <v>0.17923784273584589</v>
      </c>
      <c r="J24" s="13">
        <f t="shared" si="6"/>
        <v>0.16576294857004067</v>
      </c>
      <c r="K24" s="13">
        <f t="shared" si="7"/>
        <v>0.15816930256632031</v>
      </c>
      <c r="L24" s="13">
        <f t="shared" si="8"/>
        <v>0.15306118636849303</v>
      </c>
      <c r="M24" s="13" t="e">
        <f t="shared" si="9"/>
        <v>#DIV/0!</v>
      </c>
      <c r="N24" s="14">
        <v>100</v>
      </c>
      <c r="O24" s="14">
        <f>+E24/$D$24*100</f>
        <v>127.78870008893881</v>
      </c>
      <c r="P24" s="14">
        <f>+F24/$D$24*100</f>
        <v>217.42966811777373</v>
      </c>
      <c r="Q24" s="14">
        <f>+G24/$D$24*100</f>
        <v>191.782521181482</v>
      </c>
      <c r="R24" s="14">
        <f>+H24/$D$24*100</f>
        <v>0</v>
      </c>
      <c r="S24" s="3"/>
      <c r="T24" s="3"/>
      <c r="U24" s="3"/>
      <c r="V24" s="3"/>
    </row>
    <row r="25" spans="1:22" ht="15.75" x14ac:dyDescent="0.25">
      <c r="A25" s="2"/>
      <c r="B25" s="2"/>
      <c r="C25" s="10"/>
      <c r="D25" s="11"/>
      <c r="E25" s="11"/>
      <c r="F25" s="11"/>
      <c r="G25" s="11"/>
      <c r="H25" s="11"/>
      <c r="I25" s="12">
        <f t="shared" si="5"/>
        <v>0</v>
      </c>
      <c r="J25" s="13">
        <f t="shared" si="6"/>
        <v>0</v>
      </c>
      <c r="K25" s="13">
        <f t="shared" si="7"/>
        <v>0</v>
      </c>
      <c r="L25" s="13">
        <f t="shared" si="8"/>
        <v>0</v>
      </c>
      <c r="M25" s="13" t="e">
        <f t="shared" si="9"/>
        <v>#DIV/0!</v>
      </c>
      <c r="N25" s="14"/>
      <c r="O25" s="6"/>
      <c r="P25" s="6"/>
      <c r="Q25" s="6"/>
      <c r="R25" s="6"/>
      <c r="S25" s="3"/>
      <c r="T25" s="3"/>
      <c r="U25" s="3"/>
      <c r="V25" s="3"/>
    </row>
    <row r="26" spans="1:22" ht="15.75" x14ac:dyDescent="0.25">
      <c r="A26" s="1" t="s">
        <v>23</v>
      </c>
      <c r="B26" s="2"/>
      <c r="C26" s="10"/>
      <c r="D26" s="11">
        <f>SUM(D21:D24)</f>
        <v>124452</v>
      </c>
      <c r="E26" s="11">
        <f>SUM(E21:E24)</f>
        <v>192688</v>
      </c>
      <c r="F26" s="11">
        <f>SUM(F21:F24)</f>
        <v>322897</v>
      </c>
      <c r="G26" s="11">
        <f>SUM(G21:G24)</f>
        <v>281213</v>
      </c>
      <c r="H26" s="11"/>
      <c r="I26" s="12">
        <f t="shared" si="5"/>
        <v>0.52208276000939691</v>
      </c>
      <c r="J26" s="13">
        <f t="shared" si="6"/>
        <v>0.58500212520493045</v>
      </c>
      <c r="K26" s="13">
        <f t="shared" si="7"/>
        <v>0.54976257323283484</v>
      </c>
      <c r="L26" s="13">
        <f t="shared" si="8"/>
        <v>0.52529009167868379</v>
      </c>
      <c r="M26" s="13" t="e">
        <f t="shared" si="9"/>
        <v>#DIV/0!</v>
      </c>
      <c r="N26" s="14">
        <v>100</v>
      </c>
      <c r="O26" s="14">
        <f>+E26/$D$26*100</f>
        <v>154.82917108604119</v>
      </c>
      <c r="P26" s="14">
        <f>+F26/$D$26*100</f>
        <v>259.45505094333561</v>
      </c>
      <c r="Q26" s="14">
        <f>+G26/$D$26*100</f>
        <v>225.96101308134863</v>
      </c>
      <c r="R26" s="14">
        <f>+H26/$D$26*100</f>
        <v>0</v>
      </c>
      <c r="S26" s="3"/>
      <c r="T26" s="3"/>
      <c r="U26" s="3"/>
      <c r="V26" s="3"/>
    </row>
    <row r="27" spans="1:22" ht="15.75" x14ac:dyDescent="0.25">
      <c r="A27" s="2"/>
      <c r="B27" s="2"/>
      <c r="C27" s="10"/>
      <c r="D27" s="11"/>
      <c r="E27" s="11"/>
      <c r="F27" s="11"/>
      <c r="G27" s="11"/>
      <c r="H27" s="11"/>
      <c r="I27" s="12">
        <f t="shared" si="5"/>
        <v>0</v>
      </c>
      <c r="J27" s="13">
        <f t="shared" si="6"/>
        <v>0</v>
      </c>
      <c r="K27" s="13">
        <f t="shared" si="7"/>
        <v>0</v>
      </c>
      <c r="L27" s="13">
        <f t="shared" si="8"/>
        <v>0</v>
      </c>
      <c r="M27" s="13" t="e">
        <f t="shared" si="9"/>
        <v>#DIV/0!</v>
      </c>
      <c r="N27" s="14"/>
      <c r="O27" s="6"/>
      <c r="P27" s="6"/>
      <c r="Q27" s="6"/>
      <c r="R27" s="6"/>
      <c r="S27" s="3"/>
      <c r="T27" s="3"/>
      <c r="U27" s="3"/>
      <c r="V27" s="3"/>
    </row>
    <row r="28" spans="1:22" ht="15.75" x14ac:dyDescent="0.25">
      <c r="A28" s="1" t="s">
        <v>24</v>
      </c>
      <c r="B28" s="2"/>
      <c r="C28" s="10"/>
      <c r="D28" s="11">
        <v>102167</v>
      </c>
      <c r="E28" s="11">
        <v>121357</v>
      </c>
      <c r="F28" s="11">
        <v>229732</v>
      </c>
      <c r="G28" s="11">
        <v>222322</v>
      </c>
      <c r="H28" s="11"/>
      <c r="I28" s="12">
        <f t="shared" si="5"/>
        <v>0.4285959995972749</v>
      </c>
      <c r="J28" s="13">
        <f t="shared" si="6"/>
        <v>0.36844070678243973</v>
      </c>
      <c r="K28" s="13">
        <f t="shared" si="7"/>
        <v>0.39114038059791706</v>
      </c>
      <c r="L28" s="13">
        <f t="shared" si="8"/>
        <v>0.41528501087143316</v>
      </c>
      <c r="M28" s="13" t="e">
        <f t="shared" si="9"/>
        <v>#DIV/0!</v>
      </c>
      <c r="N28" s="14">
        <v>100</v>
      </c>
      <c r="O28" s="14">
        <f>+E28/$D$28*100</f>
        <v>118.78297297561835</v>
      </c>
      <c r="P28" s="14">
        <f>+F28/$D$28*100</f>
        <v>224.8592989908679</v>
      </c>
      <c r="Q28" s="14">
        <f>+G28/$D$28*100</f>
        <v>217.60646784186676</v>
      </c>
      <c r="R28" s="14">
        <f>+H28/$D$28*100</f>
        <v>0</v>
      </c>
      <c r="S28" s="3"/>
      <c r="T28" s="3"/>
      <c r="U28" s="3"/>
      <c r="V28" s="3"/>
    </row>
    <row r="29" spans="1:22" ht="15.75" x14ac:dyDescent="0.25">
      <c r="A29" s="1" t="s">
        <v>25</v>
      </c>
      <c r="B29" s="2"/>
      <c r="C29" s="10"/>
      <c r="D29" s="11">
        <v>11757</v>
      </c>
      <c r="E29" s="11">
        <v>15335</v>
      </c>
      <c r="F29" s="11">
        <v>34710</v>
      </c>
      <c r="G29" s="11">
        <v>31813</v>
      </c>
      <c r="H29" s="11"/>
      <c r="I29" s="12">
        <f t="shared" si="5"/>
        <v>4.9321240393328185E-2</v>
      </c>
      <c r="J29" s="13">
        <f t="shared" si="6"/>
        <v>4.6557168012629789E-2</v>
      </c>
      <c r="K29" s="13">
        <f t="shared" si="7"/>
        <v>5.9097046169248081E-2</v>
      </c>
      <c r="L29" s="13">
        <f t="shared" si="8"/>
        <v>5.9424897449883066E-2</v>
      </c>
      <c r="M29" s="13" t="e">
        <f t="shared" si="9"/>
        <v>#DIV/0!</v>
      </c>
      <c r="N29" s="14"/>
      <c r="O29" s="6"/>
      <c r="P29" s="6"/>
      <c r="Q29" s="6"/>
      <c r="R29" s="6"/>
      <c r="S29" s="3"/>
      <c r="T29" s="3"/>
      <c r="U29" s="3"/>
      <c r="V29" s="3"/>
    </row>
    <row r="30" spans="1:22" ht="15.75" x14ac:dyDescent="0.25">
      <c r="A30" s="1" t="s">
        <v>26</v>
      </c>
      <c r="B30" s="2"/>
      <c r="C30" s="10"/>
      <c r="D30" s="11">
        <v>0</v>
      </c>
      <c r="E30" s="11">
        <v>0</v>
      </c>
      <c r="F30" s="11">
        <v>0</v>
      </c>
      <c r="G30" s="11">
        <v>0</v>
      </c>
      <c r="H30" s="11"/>
      <c r="I30" s="12">
        <f t="shared" si="5"/>
        <v>0</v>
      </c>
      <c r="J30" s="13">
        <f t="shared" si="6"/>
        <v>0</v>
      </c>
      <c r="K30" s="13">
        <f t="shared" si="7"/>
        <v>0</v>
      </c>
      <c r="L30" s="13">
        <f t="shared" si="8"/>
        <v>0</v>
      </c>
      <c r="M30" s="13" t="e">
        <f t="shared" si="9"/>
        <v>#DIV/0!</v>
      </c>
      <c r="N30" s="14"/>
      <c r="O30" s="6"/>
      <c r="P30" s="6"/>
      <c r="Q30" s="6"/>
      <c r="R30" s="6"/>
      <c r="S30" s="3"/>
      <c r="T30" s="3"/>
      <c r="U30" s="3"/>
      <c r="V30" s="3"/>
    </row>
    <row r="31" spans="1:22" ht="15.75" x14ac:dyDescent="0.25">
      <c r="A31" s="2"/>
      <c r="B31" s="2"/>
      <c r="C31" s="10"/>
      <c r="D31" s="11"/>
      <c r="E31" s="11"/>
      <c r="F31" s="11"/>
      <c r="G31" s="11"/>
      <c r="H31" s="11"/>
      <c r="I31" s="12">
        <f t="shared" si="5"/>
        <v>0</v>
      </c>
      <c r="J31" s="13">
        <f t="shared" si="6"/>
        <v>0</v>
      </c>
      <c r="K31" s="13">
        <f t="shared" si="7"/>
        <v>0</v>
      </c>
      <c r="L31" s="13">
        <f t="shared" si="8"/>
        <v>0</v>
      </c>
      <c r="M31" s="13" t="e">
        <f t="shared" si="9"/>
        <v>#DIV/0!</v>
      </c>
      <c r="N31" s="14"/>
      <c r="O31" s="6"/>
      <c r="P31" s="6"/>
      <c r="Q31" s="6"/>
      <c r="R31" s="6"/>
      <c r="S31" s="3"/>
      <c r="T31" s="3"/>
      <c r="U31" s="3"/>
      <c r="V31" s="3"/>
    </row>
    <row r="32" spans="1:22" ht="15.75" x14ac:dyDescent="0.25">
      <c r="A32" s="1" t="s">
        <v>27</v>
      </c>
      <c r="B32" s="2"/>
      <c r="C32" s="10"/>
      <c r="D32" s="11">
        <f>SUM(D28:D30)</f>
        <v>113924</v>
      </c>
      <c r="E32" s="11">
        <f>SUM(E28:E30)</f>
        <v>136692</v>
      </c>
      <c r="F32" s="11">
        <f>SUM(F28:F30)</f>
        <v>264442</v>
      </c>
      <c r="G32" s="11">
        <f>SUM(G28:G30)</f>
        <v>254135</v>
      </c>
      <c r="H32" s="11"/>
      <c r="I32" s="12">
        <f t="shared" si="5"/>
        <v>0.47791723999060309</v>
      </c>
      <c r="J32" s="13">
        <f t="shared" si="6"/>
        <v>0.4149978747950695</v>
      </c>
      <c r="K32" s="13">
        <f t="shared" si="7"/>
        <v>0.45023742676716511</v>
      </c>
      <c r="L32" s="13">
        <f t="shared" si="8"/>
        <v>0.47470990832131621</v>
      </c>
      <c r="M32" s="13" t="e">
        <f t="shared" si="9"/>
        <v>#DIV/0!</v>
      </c>
      <c r="N32" s="14">
        <v>100</v>
      </c>
      <c r="O32" s="14">
        <f>+E32/$D$32*100</f>
        <v>119.98525332677926</v>
      </c>
      <c r="P32" s="14">
        <f>+F32/$D$32*100</f>
        <v>232.12141427618414</v>
      </c>
      <c r="Q32" s="14">
        <f>+G32/$D$32*100</f>
        <v>223.0741546996243</v>
      </c>
      <c r="R32" s="14">
        <f>+H32/$D$32*100</f>
        <v>0</v>
      </c>
      <c r="S32" s="3"/>
      <c r="T32" s="3"/>
      <c r="U32" s="3"/>
      <c r="V32" s="3"/>
    </row>
    <row r="33" spans="1:22" ht="15.75" x14ac:dyDescent="0.25">
      <c r="A33" s="2"/>
      <c r="B33" s="2"/>
      <c r="C33" s="10"/>
      <c r="D33" s="11"/>
      <c r="E33" s="11"/>
      <c r="F33" s="11"/>
      <c r="G33" s="11"/>
      <c r="H33" s="11"/>
      <c r="I33" s="12">
        <f t="shared" si="5"/>
        <v>0</v>
      </c>
      <c r="J33" s="13">
        <f t="shared" si="6"/>
        <v>0</v>
      </c>
      <c r="K33" s="13">
        <f t="shared" si="7"/>
        <v>0</v>
      </c>
      <c r="L33" s="13">
        <f t="shared" si="8"/>
        <v>0</v>
      </c>
      <c r="M33" s="13" t="e">
        <f t="shared" si="9"/>
        <v>#DIV/0!</v>
      </c>
      <c r="N33" s="14"/>
      <c r="O33" s="6"/>
      <c r="P33" s="6"/>
      <c r="Q33" s="6"/>
      <c r="R33" s="6"/>
      <c r="S33" s="3"/>
      <c r="T33" s="3"/>
      <c r="U33" s="3"/>
      <c r="V33" s="3"/>
    </row>
    <row r="34" spans="1:22" ht="15.75" x14ac:dyDescent="0.25">
      <c r="A34" s="1" t="s">
        <v>28</v>
      </c>
      <c r="B34" s="2"/>
      <c r="C34" s="10"/>
      <c r="D34" s="11">
        <f>D26+D32</f>
        <v>238376</v>
      </c>
      <c r="E34" s="11">
        <f>E26+E32</f>
        <v>329380</v>
      </c>
      <c r="F34" s="11">
        <f>F26+F32</f>
        <v>587339</v>
      </c>
      <c r="G34" s="11">
        <f>G26+G32</f>
        <v>535348</v>
      </c>
      <c r="H34" s="11"/>
      <c r="I34" s="12">
        <f t="shared" si="5"/>
        <v>1</v>
      </c>
      <c r="J34" s="13">
        <f t="shared" si="6"/>
        <v>1</v>
      </c>
      <c r="K34" s="13">
        <f t="shared" si="7"/>
        <v>1</v>
      </c>
      <c r="L34" s="13">
        <f t="shared" si="8"/>
        <v>1</v>
      </c>
      <c r="M34" s="13" t="e">
        <f t="shared" si="9"/>
        <v>#DIV/0!</v>
      </c>
      <c r="N34" s="14">
        <v>100</v>
      </c>
      <c r="O34" s="14">
        <f>+E34/$D$34*100</f>
        <v>138.17666208007518</v>
      </c>
      <c r="P34" s="14">
        <f>+F34/$D$34*100</f>
        <v>246.39183474846459</v>
      </c>
      <c r="Q34" s="14">
        <f>+G34/$D$34*100</f>
        <v>224.58133369131122</v>
      </c>
      <c r="R34" s="14">
        <f>+H34/$D$34*100</f>
        <v>0</v>
      </c>
      <c r="S34" s="3"/>
      <c r="T34" s="3"/>
      <c r="U34" s="3"/>
      <c r="V34" s="3"/>
    </row>
    <row r="35" spans="1:22" ht="15.75" x14ac:dyDescent="0.25">
      <c r="A35" s="2"/>
      <c r="B35" s="2"/>
      <c r="C35" s="10"/>
      <c r="D35" s="11">
        <f>D19-D34</f>
        <v>0</v>
      </c>
      <c r="E35" s="11">
        <f>E19-E34</f>
        <v>0</v>
      </c>
      <c r="F35" s="11"/>
      <c r="G35" s="11"/>
      <c r="H35" s="11"/>
      <c r="I35" s="4"/>
      <c r="J35" s="6"/>
      <c r="K35" s="6"/>
      <c r="L35" s="6"/>
      <c r="M35" s="6"/>
      <c r="N35" s="14"/>
      <c r="O35" s="6"/>
      <c r="P35" s="6"/>
      <c r="Q35" s="6"/>
      <c r="R35" s="6"/>
      <c r="S35" s="3"/>
      <c r="T35" s="3"/>
      <c r="U35" s="3"/>
      <c r="V35" s="3"/>
    </row>
    <row r="36" spans="1:22" ht="15.75" x14ac:dyDescent="0.25">
      <c r="A36" s="2"/>
      <c r="B36" s="2"/>
      <c r="C36" s="10"/>
      <c r="D36" s="11"/>
      <c r="E36" s="11"/>
      <c r="F36" s="11"/>
      <c r="G36" s="11"/>
      <c r="H36" s="11"/>
      <c r="I36" s="4"/>
      <c r="J36" s="6"/>
      <c r="K36" s="6"/>
      <c r="L36" s="6"/>
      <c r="M36" s="6"/>
      <c r="N36" s="14"/>
      <c r="O36" s="6"/>
      <c r="P36" s="6"/>
      <c r="Q36" s="6"/>
      <c r="R36" s="6"/>
      <c r="S36" s="3"/>
      <c r="T36" s="3"/>
      <c r="U36" s="3"/>
      <c r="V36" s="3"/>
    </row>
    <row r="37" spans="1:22" ht="15.75" x14ac:dyDescent="0.25">
      <c r="A37" s="2"/>
      <c r="B37" s="2"/>
      <c r="C37" s="10"/>
      <c r="D37" s="11"/>
      <c r="E37" s="11"/>
      <c r="F37" s="11"/>
      <c r="G37" s="11"/>
      <c r="H37" s="11"/>
      <c r="I37" s="4"/>
      <c r="J37" s="6"/>
      <c r="K37" s="6"/>
      <c r="L37" s="6"/>
      <c r="M37" s="6"/>
      <c r="N37" s="14"/>
      <c r="O37" s="6"/>
      <c r="P37" s="6"/>
      <c r="Q37" s="6"/>
      <c r="R37" s="6"/>
      <c r="S37" s="3"/>
      <c r="T37" s="3"/>
      <c r="U37" s="3"/>
      <c r="V37" s="3"/>
    </row>
    <row r="38" spans="1:22" ht="15.75" x14ac:dyDescent="0.25">
      <c r="A38" s="1" t="s">
        <v>29</v>
      </c>
      <c r="B38" s="2"/>
      <c r="C38" s="10"/>
      <c r="D38" s="11">
        <v>228127</v>
      </c>
      <c r="E38" s="11">
        <v>259433</v>
      </c>
      <c r="F38" s="11">
        <v>314883</v>
      </c>
      <c r="G38" s="11">
        <v>91039</v>
      </c>
      <c r="H38" s="11"/>
      <c r="I38" s="12">
        <f t="shared" ref="I38:I58" si="10">+D38/$D$38</f>
        <v>1</v>
      </c>
      <c r="J38" s="13">
        <f t="shared" ref="J38:J58" si="11">+E38/$E$38</f>
        <v>1</v>
      </c>
      <c r="K38" s="13">
        <f t="shared" ref="K38:K58" si="12">+F38/$F$38</f>
        <v>1</v>
      </c>
      <c r="L38" s="13">
        <f t="shared" ref="L38:L58" si="13">+G38/$G$38</f>
        <v>1</v>
      </c>
      <c r="M38" s="13" t="e">
        <f>+H38/$H$38</f>
        <v>#DIV/0!</v>
      </c>
      <c r="N38" s="14">
        <v>100</v>
      </c>
      <c r="O38" s="14">
        <f>+E38/$D$38*100</f>
        <v>113.72305777045241</v>
      </c>
      <c r="P38" s="14">
        <f>+F38/$D$38*100</f>
        <v>138.0296939862445</v>
      </c>
      <c r="Q38" s="14">
        <f>+G38/$D$38*3*100</f>
        <v>119.72147093504933</v>
      </c>
      <c r="R38" s="14">
        <f>+H38/$D$38*100</f>
        <v>0</v>
      </c>
      <c r="S38" s="3"/>
      <c r="T38" s="3"/>
      <c r="U38" s="3"/>
      <c r="V38" s="3"/>
    </row>
    <row r="39" spans="1:22" ht="15.75" x14ac:dyDescent="0.25">
      <c r="A39" s="1" t="s">
        <v>30</v>
      </c>
      <c r="B39" s="2"/>
      <c r="C39" s="10"/>
      <c r="D39" s="15">
        <f>157603-18987</f>
        <v>138616</v>
      </c>
      <c r="E39" s="15">
        <f>182868-38021</f>
        <v>144847</v>
      </c>
      <c r="F39" s="15">
        <f>244299-69764</f>
        <v>174535</v>
      </c>
      <c r="G39" s="15">
        <f>56451-32</f>
        <v>56419</v>
      </c>
      <c r="H39" s="11"/>
      <c r="I39" s="12">
        <f t="shared" si="10"/>
        <v>0.60762645368588553</v>
      </c>
      <c r="J39" s="13">
        <f t="shared" si="11"/>
        <v>0.5583214163194351</v>
      </c>
      <c r="K39" s="13">
        <f t="shared" si="12"/>
        <v>0.55428524245513411</v>
      </c>
      <c r="L39" s="13">
        <f t="shared" si="13"/>
        <v>0.6197234152396226</v>
      </c>
      <c r="M39" s="13"/>
      <c r="N39" s="14">
        <v>100</v>
      </c>
      <c r="O39" s="14">
        <f>+E39/$D$39*100</f>
        <v>104.49515207479656</v>
      </c>
      <c r="P39" s="14">
        <f>+F39/$D$39*100</f>
        <v>125.91259306284989</v>
      </c>
      <c r="Q39" s="14">
        <f>+G39/$D$39*3*100</f>
        <v>122.10495180931495</v>
      </c>
      <c r="R39" s="14"/>
      <c r="S39" s="3"/>
      <c r="T39" s="3"/>
      <c r="U39" s="3"/>
      <c r="V39" s="3"/>
    </row>
    <row r="40" spans="1:22" ht="15.75" x14ac:dyDescent="0.25">
      <c r="A40" s="1" t="s">
        <v>31</v>
      </c>
      <c r="B40" s="2"/>
      <c r="C40" s="10"/>
      <c r="D40" s="15">
        <v>16310</v>
      </c>
      <c r="E40" s="15">
        <v>25229</v>
      </c>
      <c r="F40" s="15">
        <v>32680</v>
      </c>
      <c r="G40" s="15">
        <v>8392</v>
      </c>
      <c r="H40" s="11"/>
      <c r="I40" s="12">
        <f t="shared" si="10"/>
        <v>7.1495263603168407E-2</v>
      </c>
      <c r="J40" s="13">
        <f t="shared" si="11"/>
        <v>9.7246687969533563E-2</v>
      </c>
      <c r="K40" s="13">
        <f t="shared" si="12"/>
        <v>0.10378458030443054</v>
      </c>
      <c r="L40" s="13">
        <f t="shared" si="13"/>
        <v>9.2180274387899691E-2</v>
      </c>
      <c r="M40" s="13"/>
      <c r="N40" s="14">
        <v>100</v>
      </c>
      <c r="O40" s="14">
        <f>+E40/$D$40*100</f>
        <v>154.68424279583078</v>
      </c>
      <c r="P40" s="14">
        <f>+F40/$D$40*100</f>
        <v>200.36787247087676</v>
      </c>
      <c r="Q40" s="14">
        <f>+G40/$D$40*3*100</f>
        <v>154.35928877988965</v>
      </c>
      <c r="R40" s="14"/>
      <c r="S40" s="3"/>
      <c r="T40" s="3"/>
      <c r="U40" s="3"/>
      <c r="V40" s="3"/>
    </row>
    <row r="41" spans="1:22" ht="15.75" x14ac:dyDescent="0.25">
      <c r="A41" s="1" t="s">
        <v>32</v>
      </c>
      <c r="B41" s="2"/>
      <c r="C41" s="10"/>
      <c r="D41" s="15">
        <v>20349</v>
      </c>
      <c r="E41" s="15">
        <v>25664</v>
      </c>
      <c r="F41" s="15">
        <v>35267</v>
      </c>
      <c r="G41" s="15">
        <v>9989</v>
      </c>
      <c r="H41" s="11"/>
      <c r="I41" s="12">
        <f t="shared" si="10"/>
        <v>8.9200313860262045E-2</v>
      </c>
      <c r="J41" s="13">
        <f t="shared" si="11"/>
        <v>9.892342146141779E-2</v>
      </c>
      <c r="K41" s="13">
        <f t="shared" si="12"/>
        <v>0.11200033028140612</v>
      </c>
      <c r="L41" s="13">
        <f t="shared" si="13"/>
        <v>0.10972220696624524</v>
      </c>
      <c r="M41" s="13"/>
      <c r="N41" s="14">
        <v>100</v>
      </c>
      <c r="O41" s="14">
        <f>+E41/$D$41*100</f>
        <v>126.11921961767163</v>
      </c>
      <c r="P41" s="14">
        <f>+F41/$D$41*100</f>
        <v>173.31072779989191</v>
      </c>
      <c r="Q41" s="14">
        <f>+G41/$D$41*3*100</f>
        <v>147.26522187822496</v>
      </c>
      <c r="R41" s="14"/>
      <c r="S41" s="3"/>
      <c r="T41" s="3"/>
      <c r="U41" s="3"/>
      <c r="V41" s="3"/>
    </row>
    <row r="42" spans="1:22" ht="15.75" x14ac:dyDescent="0.25">
      <c r="A42" s="16" t="s">
        <v>33</v>
      </c>
      <c r="B42" s="2"/>
      <c r="C42" s="10"/>
      <c r="D42" s="17">
        <f>+D38-D39-D40-D41</f>
        <v>52852</v>
      </c>
      <c r="E42" s="17">
        <f>+E38-E39-E40-E41</f>
        <v>63693</v>
      </c>
      <c r="F42" s="17">
        <f>+F38-F39-F40-F41</f>
        <v>72401</v>
      </c>
      <c r="G42" s="17">
        <f>+G38-G39-G40-G41</f>
        <v>16239</v>
      </c>
      <c r="H42" s="11"/>
      <c r="I42" s="12">
        <f t="shared" si="10"/>
        <v>0.23167796885068404</v>
      </c>
      <c r="J42" s="13">
        <f t="shared" si="11"/>
        <v>0.24550847424961358</v>
      </c>
      <c r="K42" s="13">
        <f t="shared" si="12"/>
        <v>0.22992984695902924</v>
      </c>
      <c r="L42" s="13">
        <f t="shared" si="13"/>
        <v>0.1783741034062325</v>
      </c>
      <c r="M42" s="13"/>
      <c r="N42" s="14">
        <v>100</v>
      </c>
      <c r="O42" s="14">
        <f>+E42/$D$42*100</f>
        <v>120.5119957617498</v>
      </c>
      <c r="P42" s="14">
        <f>+F42/$D$42*100</f>
        <v>136.98819344584879</v>
      </c>
      <c r="Q42" s="14">
        <f>+G42/$D$42*3*100</f>
        <v>92.176265798834493</v>
      </c>
      <c r="R42" s="14"/>
      <c r="S42" s="3"/>
      <c r="T42" s="3"/>
      <c r="U42" s="3"/>
      <c r="V42" s="3"/>
    </row>
    <row r="43" spans="1:22" ht="15.75" x14ac:dyDescent="0.25">
      <c r="A43" s="1" t="s">
        <v>34</v>
      </c>
      <c r="B43" s="2"/>
      <c r="C43" s="10"/>
      <c r="D43" s="15">
        <v>26836</v>
      </c>
      <c r="E43" s="15">
        <v>29550</v>
      </c>
      <c r="F43" s="15">
        <v>45976</v>
      </c>
      <c r="G43" s="15">
        <v>14915</v>
      </c>
      <c r="H43" s="11"/>
      <c r="I43" s="12">
        <f t="shared" si="10"/>
        <v>0.11763622894265037</v>
      </c>
      <c r="J43" s="13">
        <f t="shared" si="11"/>
        <v>0.11390224065558352</v>
      </c>
      <c r="K43" s="13">
        <f t="shared" si="12"/>
        <v>0.14600978776243875</v>
      </c>
      <c r="L43" s="13">
        <f t="shared" si="13"/>
        <v>0.16383088566438558</v>
      </c>
      <c r="M43" s="13"/>
      <c r="N43" s="14">
        <v>100</v>
      </c>
      <c r="O43" s="14">
        <f>+E43/$D$43*100</f>
        <v>110.11328066775971</v>
      </c>
      <c r="P43" s="14">
        <f>+F43/$D$43*100</f>
        <v>171.32210463556416</v>
      </c>
      <c r="Q43" s="14">
        <f>+G43/$D$43*3*100</f>
        <v>166.73498285884634</v>
      </c>
      <c r="R43" s="14"/>
      <c r="S43" s="3"/>
      <c r="T43" s="3"/>
      <c r="U43" s="3"/>
      <c r="V43" s="3"/>
    </row>
    <row r="44" spans="1:22" ht="15.75" x14ac:dyDescent="0.25">
      <c r="A44" s="1" t="s">
        <v>35</v>
      </c>
      <c r="B44" s="2"/>
      <c r="C44" s="10"/>
      <c r="D44" s="15">
        <f>11692+386</f>
        <v>12078</v>
      </c>
      <c r="E44" s="15">
        <f>14682+41</f>
        <v>14723</v>
      </c>
      <c r="F44" s="15">
        <f>24018-50</f>
        <v>23968</v>
      </c>
      <c r="G44" s="15">
        <v>7921</v>
      </c>
      <c r="H44" s="11"/>
      <c r="I44" s="12">
        <f t="shared" si="10"/>
        <v>5.2944193365975972E-2</v>
      </c>
      <c r="J44" s="13">
        <f t="shared" si="11"/>
        <v>5.6750683220715949E-2</v>
      </c>
      <c r="K44" s="13">
        <f t="shared" si="12"/>
        <v>7.6117160977251866E-2</v>
      </c>
      <c r="L44" s="13">
        <f t="shared" si="13"/>
        <v>8.7006667472182248E-2</v>
      </c>
      <c r="M44" s="13"/>
      <c r="N44" s="14">
        <v>100</v>
      </c>
      <c r="O44" s="14">
        <f>+E44/$D$44*100</f>
        <v>121.89932107964896</v>
      </c>
      <c r="P44" s="14">
        <f>+F44/$D$44*100</f>
        <v>198.44345090246728</v>
      </c>
      <c r="Q44" s="14">
        <f>+G44/$D$44*3*100</f>
        <v>196.74615002483856</v>
      </c>
      <c r="R44" s="14"/>
      <c r="S44" s="3"/>
      <c r="T44" s="3"/>
      <c r="U44" s="3"/>
      <c r="V44" s="3"/>
    </row>
    <row r="45" spans="1:22" ht="15.75" x14ac:dyDescent="0.25">
      <c r="A45" s="1" t="s">
        <v>36</v>
      </c>
      <c r="B45" s="2"/>
      <c r="C45" s="10"/>
      <c r="D45" s="15">
        <f>+D39+D40+D41+D43+D44</f>
        <v>214189</v>
      </c>
      <c r="E45" s="15">
        <f>+E39+E40+E41+E43+E44</f>
        <v>240013</v>
      </c>
      <c r="F45" s="15">
        <f>+F39+F40+F41+F43+F44</f>
        <v>312426</v>
      </c>
      <c r="G45" s="15">
        <f>+G39+G40+G41+G43+G44</f>
        <v>97636</v>
      </c>
      <c r="H45" s="11"/>
      <c r="I45" s="12">
        <f t="shared" si="10"/>
        <v>0.93890245345794232</v>
      </c>
      <c r="J45" s="13">
        <f t="shared" si="11"/>
        <v>0.92514444962668585</v>
      </c>
      <c r="K45" s="13">
        <f t="shared" si="12"/>
        <v>0.99219710178066134</v>
      </c>
      <c r="L45" s="13">
        <f t="shared" si="13"/>
        <v>1.0724634497303354</v>
      </c>
      <c r="M45" s="13" t="e">
        <f t="shared" ref="M45:M58" si="14">+H45/$H$38</f>
        <v>#DIV/0!</v>
      </c>
      <c r="N45" s="14">
        <v>100</v>
      </c>
      <c r="O45" s="14">
        <f>+E45/$D$45*100</f>
        <v>112.05664156422598</v>
      </c>
      <c r="P45" s="14">
        <f>+F45/$D$45*100</f>
        <v>145.86463357128517</v>
      </c>
      <c r="Q45" s="14">
        <f>+G45/$D$45*3*100</f>
        <v>136.75212079051678</v>
      </c>
      <c r="R45" s="14">
        <f>+H45/$D$45*100</f>
        <v>0</v>
      </c>
      <c r="S45" s="3"/>
      <c r="T45" s="3"/>
      <c r="U45" s="3"/>
      <c r="V45" s="3"/>
    </row>
    <row r="46" spans="1:22" ht="15.75" x14ac:dyDescent="0.25">
      <c r="A46" s="16" t="s">
        <v>37</v>
      </c>
      <c r="B46" s="2"/>
      <c r="C46" s="10"/>
      <c r="D46" s="17">
        <f>D38-D45</f>
        <v>13938</v>
      </c>
      <c r="E46" s="17">
        <f>E38-E45</f>
        <v>19420</v>
      </c>
      <c r="F46" s="17">
        <f>F38-F45</f>
        <v>2457</v>
      </c>
      <c r="G46" s="17">
        <f>G38-G45</f>
        <v>-6597</v>
      </c>
      <c r="H46" s="11"/>
      <c r="I46" s="12">
        <f t="shared" si="10"/>
        <v>6.1097546542057714E-2</v>
      </c>
      <c r="J46" s="13">
        <f t="shared" si="11"/>
        <v>7.4855550373314109E-2</v>
      </c>
      <c r="K46" s="13">
        <f t="shared" si="12"/>
        <v>7.8028982193386115E-3</v>
      </c>
      <c r="L46" s="13">
        <f t="shared" si="13"/>
        <v>-7.2463449730335347E-2</v>
      </c>
      <c r="M46" s="13" t="e">
        <f t="shared" si="14"/>
        <v>#DIV/0!</v>
      </c>
      <c r="N46" s="14">
        <v>100</v>
      </c>
      <c r="O46" s="14">
        <f>+E46/$D$46*100</f>
        <v>139.3313244367915</v>
      </c>
      <c r="P46" s="14">
        <f>+F46/$D$46*100</f>
        <v>17.62806715454154</v>
      </c>
      <c r="Q46" s="14">
        <f>+G46/$D$46*3*100</f>
        <v>-141.99311235471376</v>
      </c>
      <c r="R46" s="14">
        <f>+H46/$D$46*100</f>
        <v>0</v>
      </c>
      <c r="S46" s="3"/>
      <c r="T46" s="3"/>
      <c r="U46" s="3"/>
      <c r="V46" s="3"/>
    </row>
    <row r="47" spans="1:22" ht="15.75" x14ac:dyDescent="0.25">
      <c r="A47" s="1" t="s">
        <v>38</v>
      </c>
      <c r="B47" s="2"/>
      <c r="C47" s="10"/>
      <c r="D47" s="15">
        <v>-921</v>
      </c>
      <c r="E47" s="15">
        <v>-1309</v>
      </c>
      <c r="F47" s="15">
        <v>-1674</v>
      </c>
      <c r="G47" s="15">
        <v>-231</v>
      </c>
      <c r="H47" s="11"/>
      <c r="I47" s="12">
        <f t="shared" si="10"/>
        <v>-4.0372248791243478E-3</v>
      </c>
      <c r="J47" s="13">
        <f t="shared" si="11"/>
        <v>-5.0456187146585051E-3</v>
      </c>
      <c r="K47" s="13">
        <f t="shared" si="12"/>
        <v>-5.316260325263669E-3</v>
      </c>
      <c r="L47" s="13">
        <f t="shared" si="13"/>
        <v>-2.5373740924219293E-3</v>
      </c>
      <c r="M47" s="13" t="e">
        <f t="shared" si="14"/>
        <v>#DIV/0!</v>
      </c>
      <c r="N47" s="14">
        <v>100</v>
      </c>
      <c r="O47" s="14">
        <f>+E47/$D$47*100</f>
        <v>142.12812160694895</v>
      </c>
      <c r="P47" s="14">
        <f>+F47/$D$47*100</f>
        <v>181.75895765472313</v>
      </c>
      <c r="Q47" s="14">
        <f>+G47/$D$47*3*100</f>
        <v>75.244299674267097</v>
      </c>
      <c r="R47" s="14">
        <f>+H47/$D$47*100</f>
        <v>0</v>
      </c>
      <c r="S47" s="3"/>
      <c r="T47" s="3"/>
      <c r="U47" s="3"/>
      <c r="V47" s="3"/>
    </row>
    <row r="48" spans="1:22" ht="15.75" x14ac:dyDescent="0.25">
      <c r="A48" s="1" t="s">
        <v>39</v>
      </c>
      <c r="B48" s="2"/>
      <c r="C48" s="10"/>
      <c r="D48" s="15">
        <f>+D46+D47</f>
        <v>13017</v>
      </c>
      <c r="E48" s="15">
        <f>+E46+E47</f>
        <v>18111</v>
      </c>
      <c r="F48" s="15">
        <f>+F46+F47</f>
        <v>783</v>
      </c>
      <c r="G48" s="15">
        <f>+G46+G47</f>
        <v>-6828</v>
      </c>
      <c r="H48" s="11"/>
      <c r="I48" s="12">
        <f t="shared" si="10"/>
        <v>5.7060321662933365E-2</v>
      </c>
      <c r="J48" s="13">
        <f t="shared" si="11"/>
        <v>6.9809931658655608E-2</v>
      </c>
      <c r="K48" s="13">
        <f t="shared" si="12"/>
        <v>2.486637894074942E-3</v>
      </c>
      <c r="L48" s="13">
        <f t="shared" si="13"/>
        <v>-7.5000823822757273E-2</v>
      </c>
      <c r="M48" s="13" t="e">
        <f t="shared" si="14"/>
        <v>#DIV/0!</v>
      </c>
      <c r="N48" s="14">
        <v>100</v>
      </c>
      <c r="O48" s="14">
        <f>+E48/$D$48*100</f>
        <v>139.13344088499656</v>
      </c>
      <c r="P48" s="14">
        <f>+F48/$D$48*100</f>
        <v>6.0152108780825078</v>
      </c>
      <c r="Q48" s="14">
        <f>+G48/$D$48*3*100</f>
        <v>-157.36344779903203</v>
      </c>
      <c r="R48" s="14">
        <f>+H48/$D$48*100</f>
        <v>0</v>
      </c>
      <c r="S48" s="3"/>
      <c r="T48" s="3"/>
      <c r="U48" s="3"/>
      <c r="V48" s="3"/>
    </row>
    <row r="49" spans="1:22" ht="15.75" x14ac:dyDescent="0.25">
      <c r="A49" s="1" t="s">
        <v>40</v>
      </c>
      <c r="B49" s="2"/>
      <c r="C49" s="10"/>
      <c r="D49" s="15">
        <v>7562</v>
      </c>
      <c r="E49" s="15">
        <v>7725</v>
      </c>
      <c r="F49" s="15">
        <v>7420</v>
      </c>
      <c r="G49" s="15">
        <v>5805</v>
      </c>
      <c r="H49" s="11"/>
      <c r="I49" s="12">
        <f t="shared" si="10"/>
        <v>3.3148202536306529E-2</v>
      </c>
      <c r="J49" s="13">
        <f t="shared" si="11"/>
        <v>2.9776474080012952E-2</v>
      </c>
      <c r="K49" s="13">
        <f t="shared" si="12"/>
        <v>2.3564308012817458E-2</v>
      </c>
      <c r="L49" s="13">
        <f t="shared" si="13"/>
        <v>6.3763881413460163E-2</v>
      </c>
      <c r="M49" s="13" t="e">
        <f t="shared" si="14"/>
        <v>#DIV/0!</v>
      </c>
      <c r="N49" s="14">
        <v>100</v>
      </c>
      <c r="O49" s="14">
        <f>+E49/$D$49*100</f>
        <v>102.15551441417614</v>
      </c>
      <c r="P49" s="14">
        <f>+F49/$D$49*100</f>
        <v>98.122189896852689</v>
      </c>
      <c r="Q49" s="14">
        <f>+G49/$D$49*3*100</f>
        <v>230.29621793176406</v>
      </c>
      <c r="R49" s="14">
        <f>+H49/$D$49*100</f>
        <v>0</v>
      </c>
      <c r="S49" s="3"/>
      <c r="T49" s="3"/>
      <c r="U49" s="3"/>
      <c r="V49" s="3"/>
    </row>
    <row r="50" spans="1:22" ht="15.75" x14ac:dyDescent="0.25">
      <c r="A50" s="1" t="s">
        <v>41</v>
      </c>
      <c r="B50" s="2"/>
      <c r="C50" s="10"/>
      <c r="D50" s="15">
        <f>+D48-D49</f>
        <v>5455</v>
      </c>
      <c r="E50" s="15">
        <f>+E48-E49</f>
        <v>10386</v>
      </c>
      <c r="F50" s="15">
        <f>+F48-F49</f>
        <v>-6637</v>
      </c>
      <c r="G50" s="15">
        <f>+G48-G49</f>
        <v>-12633</v>
      </c>
      <c r="H50" s="11"/>
      <c r="I50" s="12">
        <f t="shared" si="10"/>
        <v>2.3912119126626837E-2</v>
      </c>
      <c r="J50" s="13">
        <f t="shared" si="11"/>
        <v>4.0033457578642656E-2</v>
      </c>
      <c r="K50" s="13">
        <f t="shared" si="12"/>
        <v>-2.1077670118742516E-2</v>
      </c>
      <c r="L50" s="13">
        <f t="shared" si="13"/>
        <v>-0.13876470523621745</v>
      </c>
      <c r="M50" s="13" t="e">
        <f t="shared" si="14"/>
        <v>#DIV/0!</v>
      </c>
      <c r="N50" s="14">
        <v>100</v>
      </c>
      <c r="O50" s="14">
        <f>+E50/$D$50*100</f>
        <v>190.39413382218149</v>
      </c>
      <c r="P50" s="14">
        <f>+F50/$D$50*100</f>
        <v>-121.66819431714025</v>
      </c>
      <c r="Q50" s="14">
        <f>+G50/$D$50*3*100</f>
        <v>-694.75710357470211</v>
      </c>
      <c r="R50" s="14">
        <f>+H50/$D$50*100</f>
        <v>0</v>
      </c>
      <c r="S50" s="3"/>
      <c r="T50" s="3"/>
      <c r="U50" s="3"/>
      <c r="V50" s="3"/>
    </row>
    <row r="51" spans="1:22" ht="15.75" x14ac:dyDescent="0.25">
      <c r="A51" s="1" t="s">
        <v>42</v>
      </c>
      <c r="B51" s="2"/>
      <c r="C51" s="10"/>
      <c r="D51" s="15">
        <v>1491</v>
      </c>
      <c r="E51" s="15">
        <v>7466</v>
      </c>
      <c r="F51" s="15">
        <v>4350</v>
      </c>
      <c r="G51" s="15">
        <v>974</v>
      </c>
      <c r="H51" s="11"/>
      <c r="I51" s="12">
        <f t="shared" si="10"/>
        <v>6.5358331105042364E-3</v>
      </c>
      <c r="J51" s="13">
        <f t="shared" si="11"/>
        <v>2.8778143104385333E-2</v>
      </c>
      <c r="K51" s="13">
        <f t="shared" si="12"/>
        <v>1.3814654967083012E-2</v>
      </c>
      <c r="L51" s="13">
        <f t="shared" si="13"/>
        <v>1.0698711541207615E-2</v>
      </c>
      <c r="M51" s="13" t="e">
        <f t="shared" si="14"/>
        <v>#DIV/0!</v>
      </c>
      <c r="N51" s="14">
        <v>100</v>
      </c>
      <c r="O51" s="14">
        <f>+E51/$D$51*100</f>
        <v>500.7377598926895</v>
      </c>
      <c r="P51" s="14">
        <f>+F51/$D$51*100</f>
        <v>291.75050301810865</v>
      </c>
      <c r="Q51" s="14">
        <f>+G51/$D$51*3*100</f>
        <v>195.97585513078474</v>
      </c>
      <c r="R51" s="14">
        <f>+H51/$D$51*100</f>
        <v>0</v>
      </c>
      <c r="S51" s="3"/>
      <c r="T51" s="3"/>
      <c r="U51" s="3"/>
      <c r="V51" s="3"/>
    </row>
    <row r="52" spans="1:22" ht="15.75" x14ac:dyDescent="0.25">
      <c r="A52" s="1" t="s">
        <v>43</v>
      </c>
      <c r="B52" s="2"/>
      <c r="C52" s="10"/>
      <c r="D52" s="15">
        <f>+D50-D51</f>
        <v>3964</v>
      </c>
      <c r="E52" s="15">
        <f>+E50-E51</f>
        <v>2920</v>
      </c>
      <c r="F52" s="15">
        <f>+F50-F51</f>
        <v>-10987</v>
      </c>
      <c r="G52" s="15">
        <f>+G50-G51</f>
        <v>-13607</v>
      </c>
      <c r="H52" s="11"/>
      <c r="I52" s="12">
        <f t="shared" si="10"/>
        <v>1.7376286016122598E-2</v>
      </c>
      <c r="J52" s="13">
        <f t="shared" si="11"/>
        <v>1.1255314474257323E-2</v>
      </c>
      <c r="K52" s="13">
        <f t="shared" si="12"/>
        <v>-3.4892325085825529E-2</v>
      </c>
      <c r="L52" s="13">
        <f t="shared" si="13"/>
        <v>-0.14946341677742506</v>
      </c>
      <c r="M52" s="13" t="e">
        <f t="shared" si="14"/>
        <v>#DIV/0!</v>
      </c>
      <c r="N52" s="14">
        <v>100</v>
      </c>
      <c r="O52" s="14">
        <f>+E52/$D$52*100</f>
        <v>73.662966700302718</v>
      </c>
      <c r="P52" s="14">
        <f>+F52/$D$52*100</f>
        <v>-277.16952573158426</v>
      </c>
      <c r="Q52" s="14">
        <f>+G52/$D$52*100</f>
        <v>-343.26437941473256</v>
      </c>
      <c r="R52" s="14">
        <f>+H52/$D$52*100</f>
        <v>0</v>
      </c>
      <c r="S52" s="3"/>
      <c r="T52" s="3"/>
      <c r="U52" s="3"/>
      <c r="V52" s="3"/>
    </row>
    <row r="53" spans="1:22" ht="15.75" x14ac:dyDescent="0.25">
      <c r="A53" s="1" t="s">
        <v>44</v>
      </c>
      <c r="B53" s="2"/>
      <c r="C53" s="10"/>
      <c r="D53" s="15">
        <v>-323</v>
      </c>
      <c r="E53" s="15">
        <v>-924</v>
      </c>
      <c r="F53" s="15">
        <v>0</v>
      </c>
      <c r="G53" s="15">
        <v>0</v>
      </c>
      <c r="H53" s="11"/>
      <c r="I53" s="12">
        <f t="shared" si="10"/>
        <v>-1.4158779977819372E-3</v>
      </c>
      <c r="J53" s="13">
        <f t="shared" si="11"/>
        <v>-3.5616132103471801E-3</v>
      </c>
      <c r="K53" s="13">
        <f t="shared" si="12"/>
        <v>0</v>
      </c>
      <c r="L53" s="13">
        <f t="shared" si="13"/>
        <v>0</v>
      </c>
      <c r="M53" s="13" t="e">
        <f t="shared" si="14"/>
        <v>#DIV/0!</v>
      </c>
      <c r="N53" s="14">
        <v>100</v>
      </c>
      <c r="O53" s="14">
        <f>+E53/$D$53*100</f>
        <v>286.06811145510835</v>
      </c>
      <c r="P53" s="14">
        <f>+F53/$D$53*100</f>
        <v>0</v>
      </c>
      <c r="Q53" s="14">
        <f>+G53/$D$53*100</f>
        <v>0</v>
      </c>
      <c r="R53" s="14">
        <f>+H53/$D$53*100</f>
        <v>0</v>
      </c>
      <c r="S53" s="3"/>
      <c r="T53" s="3"/>
      <c r="U53" s="3"/>
      <c r="V53" s="3"/>
    </row>
    <row r="54" spans="1:22" ht="15.75" x14ac:dyDescent="0.25">
      <c r="A54" s="1" t="s">
        <v>45</v>
      </c>
      <c r="B54" s="2"/>
      <c r="C54" s="10"/>
      <c r="D54" s="15">
        <f>+D52-D53</f>
        <v>4287</v>
      </c>
      <c r="E54" s="15">
        <f>+E52-E53</f>
        <v>3844</v>
      </c>
      <c r="F54" s="15">
        <f>+F52-F53</f>
        <v>-10987</v>
      </c>
      <c r="G54" s="15">
        <f>+G52-G53</f>
        <v>-13607</v>
      </c>
      <c r="H54" s="11"/>
      <c r="I54" s="12">
        <f t="shared" si="10"/>
        <v>1.8792164013904537E-2</v>
      </c>
      <c r="J54" s="13">
        <f t="shared" si="11"/>
        <v>1.4816927684604502E-2</v>
      </c>
      <c r="K54" s="13">
        <f t="shared" si="12"/>
        <v>-3.4892325085825529E-2</v>
      </c>
      <c r="L54" s="13">
        <f t="shared" si="13"/>
        <v>-0.14946341677742506</v>
      </c>
      <c r="M54" s="13" t="e">
        <f t="shared" si="14"/>
        <v>#DIV/0!</v>
      </c>
      <c r="N54" s="14">
        <v>100</v>
      </c>
      <c r="O54" s="14">
        <f>+E54/$D$54*100</f>
        <v>89.66643340331234</v>
      </c>
      <c r="P54" s="14">
        <f>+F54/$D$54*100</f>
        <v>-256.28644739911357</v>
      </c>
      <c r="Q54" s="14">
        <f>+G54/$D$54*3*100</f>
        <v>-952.20433869839064</v>
      </c>
      <c r="R54" s="14">
        <f>+H54/$D$54*100</f>
        <v>0</v>
      </c>
      <c r="S54" s="3"/>
      <c r="T54" s="3"/>
      <c r="U54" s="3"/>
      <c r="V54" s="3"/>
    </row>
    <row r="55" spans="1:22" ht="15.75" x14ac:dyDescent="0.25">
      <c r="A55" s="1" t="s">
        <v>153</v>
      </c>
      <c r="B55" s="2"/>
      <c r="C55" s="10"/>
      <c r="D55" s="15">
        <v>-661</v>
      </c>
      <c r="E55" s="15">
        <v>-1686</v>
      </c>
      <c r="F55" s="15">
        <v>7528</v>
      </c>
      <c r="G55" s="15">
        <v>-2350</v>
      </c>
      <c r="H55" s="11"/>
      <c r="I55" s="12">
        <f t="shared" si="10"/>
        <v>-2.8975088437580821E-3</v>
      </c>
      <c r="J55" s="13">
        <f t="shared" si="11"/>
        <v>-6.4987877409581661E-3</v>
      </c>
      <c r="K55" s="13">
        <f t="shared" si="12"/>
        <v>2.3907292549931243E-2</v>
      </c>
      <c r="L55" s="13">
        <f t="shared" si="13"/>
        <v>-2.581311306143521E-2</v>
      </c>
      <c r="M55" s="13" t="e">
        <f t="shared" si="14"/>
        <v>#DIV/0!</v>
      </c>
      <c r="N55" s="14">
        <v>100</v>
      </c>
      <c r="O55" s="14">
        <f>+E55/$D$55*100</f>
        <v>255.06807866868382</v>
      </c>
      <c r="P55" s="14">
        <f>+F55/$D$55*100</f>
        <v>-1138.8804841149772</v>
      </c>
      <c r="Q55" s="14">
        <f>+G55/$D$55*3*100</f>
        <v>1066.5658093797276</v>
      </c>
      <c r="R55" s="14">
        <f>+H55/$D$55*100</f>
        <v>0</v>
      </c>
      <c r="S55" s="3"/>
      <c r="T55" s="3"/>
      <c r="U55" s="3"/>
      <c r="V55" s="3"/>
    </row>
    <row r="56" spans="1:22" ht="15.75" x14ac:dyDescent="0.25">
      <c r="A56" s="1" t="s">
        <v>46</v>
      </c>
      <c r="B56" s="2"/>
      <c r="C56" s="10"/>
      <c r="D56" s="15">
        <f>+D54+D55</f>
        <v>3626</v>
      </c>
      <c r="E56" s="15">
        <f>+E54+E55</f>
        <v>2158</v>
      </c>
      <c r="F56" s="15">
        <f>+F54+F55</f>
        <v>-3459</v>
      </c>
      <c r="G56" s="15">
        <f>+G54+G55</f>
        <v>-15957</v>
      </c>
      <c r="H56" s="11"/>
      <c r="I56" s="12">
        <f t="shared" si="10"/>
        <v>1.5894655170146453E-2</v>
      </c>
      <c r="J56" s="13">
        <f t="shared" si="11"/>
        <v>8.3181399436463369E-3</v>
      </c>
      <c r="K56" s="13">
        <f t="shared" si="12"/>
        <v>-1.0985032535894284E-2</v>
      </c>
      <c r="L56" s="13">
        <f t="shared" si="13"/>
        <v>-0.17527652983886027</v>
      </c>
      <c r="M56" s="13" t="e">
        <f t="shared" si="14"/>
        <v>#DIV/0!</v>
      </c>
      <c r="N56" s="14">
        <v>100</v>
      </c>
      <c r="O56" s="14">
        <f>+E56/$D$56*100</f>
        <v>59.514616657473795</v>
      </c>
      <c r="P56" s="14">
        <f>+F56/$D$56*100</f>
        <v>-95.394373965802544</v>
      </c>
      <c r="Q56" s="14">
        <f>+G56/$D$56*3*100</f>
        <v>-1320.2151130722559</v>
      </c>
      <c r="R56" s="14">
        <f>+H56/$D$56*100</f>
        <v>0</v>
      </c>
      <c r="S56" s="3"/>
      <c r="T56" s="3"/>
      <c r="U56" s="3"/>
      <c r="V56" s="3"/>
    </row>
    <row r="57" spans="1:22" ht="15.75" x14ac:dyDescent="0.25">
      <c r="A57" s="1" t="s">
        <v>47</v>
      </c>
      <c r="B57" s="2"/>
      <c r="C57" s="10"/>
      <c r="D57" s="15">
        <v>0</v>
      </c>
      <c r="E57" s="15">
        <v>0</v>
      </c>
      <c r="F57" s="15">
        <v>0</v>
      </c>
      <c r="G57" s="15">
        <v>0</v>
      </c>
      <c r="H57" s="11"/>
      <c r="I57" s="12">
        <f t="shared" si="10"/>
        <v>0</v>
      </c>
      <c r="J57" s="13">
        <f t="shared" si="11"/>
        <v>0</v>
      </c>
      <c r="K57" s="13">
        <f t="shared" si="12"/>
        <v>0</v>
      </c>
      <c r="L57" s="13">
        <f t="shared" si="13"/>
        <v>0</v>
      </c>
      <c r="M57" s="13" t="e">
        <f t="shared" si="14"/>
        <v>#DIV/0!</v>
      </c>
      <c r="N57" s="14"/>
      <c r="O57" s="14"/>
      <c r="P57" s="14"/>
      <c r="Q57" s="14"/>
      <c r="R57" s="14" t="e">
        <f>+H57/$D$57*100</f>
        <v>#DIV/0!</v>
      </c>
      <c r="S57" s="3"/>
      <c r="T57" s="3"/>
      <c r="U57" s="3"/>
      <c r="V57" s="3"/>
    </row>
    <row r="58" spans="1:22" ht="15.75" x14ac:dyDescent="0.25">
      <c r="A58" s="1" t="s">
        <v>48</v>
      </c>
      <c r="B58" s="2"/>
      <c r="C58" s="10"/>
      <c r="D58" s="15">
        <f>+D56-D57</f>
        <v>3626</v>
      </c>
      <c r="E58" s="15">
        <f>+E56-E57</f>
        <v>2158</v>
      </c>
      <c r="F58" s="15">
        <f>+F56-F57</f>
        <v>-3459</v>
      </c>
      <c r="G58" s="15">
        <f>+G56-G57</f>
        <v>-15957</v>
      </c>
      <c r="H58" s="11"/>
      <c r="I58" s="12">
        <f t="shared" si="10"/>
        <v>1.5894655170146453E-2</v>
      </c>
      <c r="J58" s="13">
        <f t="shared" si="11"/>
        <v>8.3181399436463369E-3</v>
      </c>
      <c r="K58" s="13">
        <f t="shared" si="12"/>
        <v>-1.0985032535894284E-2</v>
      </c>
      <c r="L58" s="13">
        <f t="shared" si="13"/>
        <v>-0.17527652983886027</v>
      </c>
      <c r="M58" s="13" t="e">
        <f t="shared" si="14"/>
        <v>#DIV/0!</v>
      </c>
      <c r="N58" s="14">
        <v>100</v>
      </c>
      <c r="O58" s="14">
        <f>+E58/$D$58*100</f>
        <v>59.514616657473795</v>
      </c>
      <c r="P58" s="14">
        <f>+F58/$D$58*100</f>
        <v>-95.394373965802544</v>
      </c>
      <c r="Q58" s="14">
        <f>+G58/$D$58*3*100</f>
        <v>-1320.2151130722559</v>
      </c>
      <c r="R58" s="14">
        <f>+H58/$D$58*100</f>
        <v>0</v>
      </c>
      <c r="S58" s="3"/>
      <c r="T58" s="3"/>
      <c r="U58" s="3"/>
      <c r="V58" s="3"/>
    </row>
    <row r="59" spans="1:22" ht="15.75" x14ac:dyDescent="0.25">
      <c r="A59" s="1" t="s">
        <v>49</v>
      </c>
      <c r="B59" s="2"/>
      <c r="C59" s="10"/>
      <c r="D59" s="18" t="s">
        <v>50</v>
      </c>
      <c r="E59" s="15">
        <v>108953</v>
      </c>
      <c r="F59" s="15">
        <v>32910</v>
      </c>
      <c r="G59" s="15">
        <v>13961</v>
      </c>
      <c r="H59" s="11"/>
      <c r="I59" s="4"/>
      <c r="J59" s="4"/>
      <c r="K59" s="2"/>
      <c r="L59" s="2"/>
      <c r="M59" s="2"/>
      <c r="N59" s="19"/>
      <c r="O59" s="2"/>
      <c r="P59" s="2"/>
      <c r="Q59" s="2"/>
      <c r="R59" s="2"/>
      <c r="S59" s="3"/>
      <c r="T59" s="3"/>
      <c r="U59" s="3"/>
      <c r="V59" s="3"/>
    </row>
    <row r="60" spans="1:22" ht="15.75" x14ac:dyDescent="0.25">
      <c r="A60" s="1" t="s">
        <v>51</v>
      </c>
      <c r="B60" s="2"/>
      <c r="C60" s="10"/>
      <c r="D60" s="20" t="s">
        <v>52</v>
      </c>
      <c r="E60" s="21">
        <v>1.8</v>
      </c>
      <c r="F60" s="21">
        <v>0.6</v>
      </c>
      <c r="G60" s="20" t="s">
        <v>53</v>
      </c>
      <c r="H60" s="22"/>
      <c r="I60" s="4"/>
      <c r="J60" s="4"/>
      <c r="K60" s="2"/>
      <c r="L60" s="2"/>
      <c r="M60" s="2"/>
      <c r="N60" s="19"/>
      <c r="O60" s="2"/>
      <c r="P60" s="2"/>
      <c r="Q60" s="2"/>
      <c r="R60" s="2"/>
      <c r="S60" s="3"/>
      <c r="T60" s="3"/>
      <c r="U60" s="3"/>
      <c r="V60" s="3"/>
    </row>
    <row r="61" spans="1:22" ht="15.75" x14ac:dyDescent="0.25">
      <c r="A61" s="23" t="s">
        <v>54</v>
      </c>
      <c r="B61" s="23"/>
      <c r="C61" s="23"/>
      <c r="D61" s="24"/>
      <c r="E61" s="24"/>
      <c r="F61" s="24"/>
      <c r="G61" s="24"/>
      <c r="H61" s="25"/>
      <c r="I61" s="26"/>
      <c r="J61" s="26"/>
      <c r="K61" s="23"/>
      <c r="L61" s="23"/>
      <c r="M61" s="23"/>
      <c r="N61" s="27"/>
      <c r="O61" s="23"/>
      <c r="P61" s="23"/>
      <c r="Q61" s="23"/>
      <c r="R61" s="23"/>
      <c r="S61" s="3"/>
      <c r="T61" s="3"/>
      <c r="U61" s="3"/>
      <c r="V61" s="3"/>
    </row>
    <row r="62" spans="1:22" ht="15.75" x14ac:dyDescent="0.25">
      <c r="A62" s="28" t="s">
        <v>55</v>
      </c>
      <c r="B62" s="29"/>
      <c r="C62" s="29"/>
      <c r="D62" s="30"/>
      <c r="E62" s="30"/>
      <c r="F62" s="30"/>
      <c r="G62" s="30"/>
      <c r="H62" s="31"/>
      <c r="I62" s="31"/>
      <c r="J62" s="32"/>
      <c r="K62" s="2"/>
      <c r="L62" s="2"/>
      <c r="M62" s="2"/>
      <c r="N62" s="19"/>
      <c r="O62" s="2"/>
      <c r="P62" s="2"/>
      <c r="Q62" s="2"/>
      <c r="R62" s="2"/>
      <c r="S62" s="3"/>
      <c r="T62" s="3"/>
      <c r="U62" s="3"/>
      <c r="V62" s="3"/>
    </row>
    <row r="63" spans="1:22" ht="15.75" x14ac:dyDescent="0.25">
      <c r="A63" s="33"/>
      <c r="B63" s="34"/>
      <c r="C63" s="34"/>
      <c r="D63" s="35"/>
      <c r="E63" s="35"/>
      <c r="F63" s="36"/>
      <c r="G63" s="36"/>
      <c r="H63" s="34"/>
      <c r="I63" s="34"/>
      <c r="J63" s="37"/>
      <c r="K63" s="2"/>
      <c r="L63" s="2"/>
      <c r="M63" s="2"/>
      <c r="N63" s="19"/>
      <c r="O63" s="2"/>
      <c r="P63" s="2"/>
      <c r="Q63" s="2"/>
      <c r="R63" s="2"/>
      <c r="S63" s="3"/>
      <c r="T63" s="3"/>
      <c r="U63" s="3"/>
      <c r="V63" s="3"/>
    </row>
    <row r="64" spans="1:22" ht="15.75" x14ac:dyDescent="0.25">
      <c r="A64" s="38" t="s">
        <v>56</v>
      </c>
      <c r="B64" s="34"/>
      <c r="C64" s="34"/>
      <c r="D64" s="34"/>
      <c r="E64" s="34"/>
      <c r="F64" s="34"/>
      <c r="G64" s="34"/>
      <c r="H64" s="34"/>
      <c r="I64" s="34"/>
      <c r="J64" s="37"/>
      <c r="K64" s="2"/>
      <c r="L64" s="2"/>
      <c r="M64" s="2"/>
      <c r="N64" s="19"/>
      <c r="O64" s="2"/>
      <c r="P64" s="2"/>
      <c r="Q64" s="2"/>
      <c r="R64" s="2"/>
      <c r="S64" s="3"/>
      <c r="T64" s="3"/>
      <c r="U64" s="3"/>
      <c r="V64" s="3"/>
    </row>
    <row r="65" spans="1:22" ht="15.75" x14ac:dyDescent="0.25">
      <c r="A65" s="38" t="s">
        <v>57</v>
      </c>
      <c r="B65" s="34"/>
      <c r="C65" s="39"/>
      <c r="D65" s="40"/>
      <c r="E65" s="34"/>
      <c r="F65" s="40"/>
      <c r="G65" s="40"/>
      <c r="H65" s="34"/>
      <c r="I65" s="34"/>
      <c r="J65" s="37"/>
      <c r="K65" s="2"/>
      <c r="L65" s="2"/>
      <c r="M65" s="2"/>
      <c r="N65" s="19"/>
      <c r="O65" s="2"/>
      <c r="P65" s="2"/>
      <c r="Q65" s="2"/>
      <c r="R65" s="2"/>
      <c r="S65" s="3"/>
      <c r="T65" s="3"/>
      <c r="U65" s="3"/>
      <c r="V65" s="3"/>
    </row>
    <row r="66" spans="1:22" ht="17.25" x14ac:dyDescent="0.3">
      <c r="A66" s="38" t="s">
        <v>58</v>
      </c>
      <c r="B66" s="41">
        <v>1.2</v>
      </c>
      <c r="C66" s="42" t="s">
        <v>59</v>
      </c>
      <c r="D66" s="43">
        <v>1.2</v>
      </c>
      <c r="E66" s="42" t="s">
        <v>60</v>
      </c>
      <c r="F66" s="43">
        <v>3.3</v>
      </c>
      <c r="G66" s="42" t="s">
        <v>61</v>
      </c>
      <c r="H66" s="44"/>
      <c r="I66" s="41">
        <v>0.6</v>
      </c>
      <c r="J66" s="45" t="s">
        <v>62</v>
      </c>
      <c r="L66" s="2"/>
      <c r="M66" s="2"/>
      <c r="N66" s="2"/>
      <c r="O66" s="2"/>
      <c r="P66" s="2"/>
      <c r="Q66" s="2"/>
      <c r="R66" s="2"/>
      <c r="S66" s="3"/>
      <c r="T66" s="3"/>
      <c r="U66" s="3"/>
      <c r="V66" s="3"/>
    </row>
    <row r="67" spans="1:22" ht="15.75" x14ac:dyDescent="0.25">
      <c r="A67" s="33"/>
      <c r="B67" s="34"/>
      <c r="C67" s="44"/>
      <c r="D67" s="44"/>
      <c r="E67" s="44"/>
      <c r="F67" s="34"/>
      <c r="G67" s="34"/>
      <c r="H67" s="34"/>
      <c r="I67" s="34"/>
      <c r="J67" s="37"/>
      <c r="K67" s="2"/>
      <c r="L67" s="2"/>
      <c r="M67" s="2"/>
      <c r="N67" s="2"/>
      <c r="O67" s="2"/>
      <c r="P67" s="2"/>
      <c r="Q67" s="2"/>
      <c r="R67" s="2"/>
      <c r="S67" s="3"/>
      <c r="T67" s="3"/>
      <c r="U67" s="3"/>
      <c r="V67" s="3"/>
    </row>
    <row r="68" spans="1:22" ht="15.75" x14ac:dyDescent="0.25">
      <c r="A68" s="33"/>
      <c r="B68" s="34"/>
      <c r="C68" s="39" t="s">
        <v>63</v>
      </c>
      <c r="D68" s="40" t="s">
        <v>64</v>
      </c>
      <c r="E68" s="34"/>
      <c r="F68" s="34"/>
      <c r="G68" s="34"/>
      <c r="H68" s="34"/>
      <c r="I68" s="46">
        <v>1</v>
      </c>
      <c r="J68" s="37" t="s">
        <v>65</v>
      </c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3"/>
    </row>
    <row r="69" spans="1:22" ht="15.75" x14ac:dyDescent="0.25">
      <c r="A69" s="33"/>
      <c r="B69" s="34"/>
      <c r="C69" s="39" t="s">
        <v>66</v>
      </c>
      <c r="D69" s="40" t="s">
        <v>67</v>
      </c>
      <c r="E69" s="34"/>
      <c r="F69" s="34"/>
      <c r="G69" s="34"/>
      <c r="H69" s="34"/>
      <c r="I69" s="34"/>
      <c r="J69" s="37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</row>
    <row r="70" spans="1:22" ht="15.75" x14ac:dyDescent="0.25">
      <c r="A70" s="33"/>
      <c r="B70" s="34"/>
      <c r="C70" s="39" t="s">
        <v>68</v>
      </c>
      <c r="D70" s="40" t="s">
        <v>69</v>
      </c>
      <c r="E70" s="34"/>
      <c r="F70" s="34"/>
      <c r="G70" s="34"/>
      <c r="H70" s="34"/>
      <c r="I70" s="34">
        <v>1</v>
      </c>
      <c r="J70" s="37" t="s">
        <v>70</v>
      </c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3"/>
    </row>
    <row r="71" spans="1:22" ht="15.75" x14ac:dyDescent="0.25">
      <c r="A71" s="33"/>
      <c r="B71" s="34"/>
      <c r="C71" s="39" t="s">
        <v>71</v>
      </c>
      <c r="D71" s="40" t="s">
        <v>72</v>
      </c>
      <c r="E71" s="34"/>
      <c r="F71" s="34"/>
      <c r="G71" s="34"/>
      <c r="H71" s="34"/>
      <c r="I71" s="34">
        <v>0.5</v>
      </c>
      <c r="J71" s="37" t="s">
        <v>73</v>
      </c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3"/>
    </row>
    <row r="72" spans="1:22" ht="15.75" x14ac:dyDescent="0.25">
      <c r="A72" s="33"/>
      <c r="B72" s="34"/>
      <c r="C72" s="39" t="s">
        <v>74</v>
      </c>
      <c r="D72" s="40" t="s">
        <v>75</v>
      </c>
      <c r="E72" s="34"/>
      <c r="F72" s="34"/>
      <c r="G72" s="34"/>
      <c r="H72" s="34"/>
      <c r="I72" s="34"/>
      <c r="J72" s="37"/>
      <c r="K72" s="2"/>
      <c r="L72" s="2"/>
      <c r="M72" s="2"/>
      <c r="N72" s="2"/>
      <c r="O72" s="2"/>
      <c r="P72" s="2"/>
      <c r="Q72" s="2"/>
      <c r="R72" s="2"/>
      <c r="S72" s="3"/>
      <c r="T72" s="3"/>
      <c r="U72" s="3"/>
      <c r="V72" s="3"/>
    </row>
    <row r="73" spans="1:22" ht="15.75" x14ac:dyDescent="0.25">
      <c r="A73" s="33"/>
      <c r="B73" s="34"/>
      <c r="C73" s="39" t="s">
        <v>76</v>
      </c>
      <c r="D73" s="40" t="s">
        <v>77</v>
      </c>
      <c r="E73" s="34"/>
      <c r="F73" s="34"/>
      <c r="G73" s="34"/>
      <c r="H73" s="34"/>
      <c r="I73" s="34"/>
      <c r="J73" s="37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</row>
    <row r="74" spans="1:22" ht="15.75" x14ac:dyDescent="0.25">
      <c r="A74" s="33"/>
      <c r="B74" s="34"/>
      <c r="C74" s="39" t="s">
        <v>78</v>
      </c>
      <c r="D74" s="40" t="s">
        <v>79</v>
      </c>
      <c r="E74" s="34"/>
      <c r="F74" s="34"/>
      <c r="G74" s="34"/>
      <c r="H74" s="34"/>
      <c r="I74" s="34"/>
      <c r="J74" s="37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3"/>
    </row>
    <row r="75" spans="1:22" ht="15.75" x14ac:dyDescent="0.25">
      <c r="A75" s="33"/>
      <c r="B75" s="34"/>
      <c r="C75" s="34"/>
      <c r="D75" s="34"/>
      <c r="E75" s="34"/>
      <c r="F75" s="34"/>
      <c r="G75" s="34"/>
      <c r="H75" s="34"/>
      <c r="I75" s="34"/>
      <c r="J75" s="37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3"/>
    </row>
    <row r="76" spans="1:22" ht="15.75" x14ac:dyDescent="0.25">
      <c r="A76" s="33" t="s">
        <v>80</v>
      </c>
      <c r="B76" s="34"/>
      <c r="C76" s="34"/>
      <c r="D76" s="47">
        <v>2000</v>
      </c>
      <c r="E76" s="47">
        <v>2001</v>
      </c>
      <c r="F76" s="47">
        <v>2002</v>
      </c>
      <c r="G76" s="47">
        <v>2003</v>
      </c>
      <c r="H76" s="34"/>
      <c r="I76" s="34"/>
      <c r="J76" s="37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3"/>
    </row>
    <row r="77" spans="1:22" ht="15.75" x14ac:dyDescent="0.25">
      <c r="A77" s="33"/>
      <c r="B77" s="34"/>
      <c r="C77" s="39" t="s">
        <v>63</v>
      </c>
      <c r="D77" s="48">
        <f>(D17-D32-D24)/D19</f>
        <v>1.4590395006208678E-2</v>
      </c>
      <c r="E77" s="48">
        <f>(E17-E32-E24)/E19</f>
        <v>0.13260975165462383</v>
      </c>
      <c r="F77" s="48">
        <f>(F17-F32-F24)/F19</f>
        <v>2.1622946884167406E-3</v>
      </c>
      <c r="G77" s="49">
        <f>(G17-G32-G24)/G19</f>
        <v>-2.7787532595620047E-2</v>
      </c>
      <c r="H77" s="43"/>
      <c r="I77" s="34"/>
      <c r="J77" s="37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3"/>
    </row>
    <row r="78" spans="1:22" ht="15.75" x14ac:dyDescent="0.25">
      <c r="A78" s="33"/>
      <c r="B78" s="34"/>
      <c r="C78" s="39" t="s">
        <v>66</v>
      </c>
      <c r="D78" s="50">
        <f>+D21/D19</f>
        <v>0.1417886028794845</v>
      </c>
      <c r="E78" s="51">
        <f>+E21/E19</f>
        <v>0.18323516910559232</v>
      </c>
      <c r="F78" s="51">
        <f>+F21/F19</f>
        <v>9.6869099446827131E-2</v>
      </c>
      <c r="G78" s="51">
        <f>+G21/G19</f>
        <v>7.6469885009377084E-2</v>
      </c>
      <c r="H78" s="43"/>
      <c r="I78" s="34"/>
      <c r="J78" s="37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</row>
    <row r="79" spans="1:22" ht="15.75" x14ac:dyDescent="0.25">
      <c r="A79" s="33"/>
      <c r="B79" s="34"/>
      <c r="C79" s="39" t="s">
        <v>68</v>
      </c>
      <c r="D79" s="50">
        <f>+D48/D19</f>
        <v>5.4607007416854043E-2</v>
      </c>
      <c r="E79" s="51">
        <f>+E48/E19</f>
        <v>5.4985123565486675E-2</v>
      </c>
      <c r="F79" s="51">
        <f>+F48/F19</f>
        <v>1.3331312921498488E-3</v>
      </c>
      <c r="G79" s="49">
        <f>+G48/G19</f>
        <v>-1.2754320554106861E-2</v>
      </c>
      <c r="H79" s="43"/>
      <c r="I79" s="34"/>
      <c r="J79" s="37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  <c r="V79" s="3"/>
    </row>
    <row r="80" spans="1:22" ht="15.75" x14ac:dyDescent="0.25">
      <c r="A80" s="33"/>
      <c r="B80" s="34"/>
      <c r="C80" s="39" t="s">
        <v>71</v>
      </c>
      <c r="D80" s="43">
        <f>(+D21)/+(+D34-D21)</f>
        <v>0.16521407587363193</v>
      </c>
      <c r="E80" s="43">
        <f>(+E59)/+(+E34-E21)</f>
        <v>0.40499059570450441</v>
      </c>
      <c r="F80" s="43">
        <f>(+F59)/+(+F34-F21)</f>
        <v>6.2042364509731468E-2</v>
      </c>
      <c r="G80" s="43">
        <f>(+G59)/+(+G34-G21)</f>
        <v>2.8237697457575695E-2</v>
      </c>
      <c r="H80" s="43"/>
      <c r="I80" s="34"/>
      <c r="J80" s="37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  <c r="V80" s="3"/>
    </row>
    <row r="81" spans="1:22" ht="15.75" x14ac:dyDescent="0.25">
      <c r="A81" s="33"/>
      <c r="B81" s="34"/>
      <c r="C81" s="34" t="s">
        <v>81</v>
      </c>
      <c r="D81" s="49">
        <f>+D38/D34</f>
        <v>0.95700489982212977</v>
      </c>
      <c r="E81" s="49">
        <f>+E38/E34</f>
        <v>0.78764041532576357</v>
      </c>
      <c r="F81" s="49">
        <f>+F38/F34</f>
        <v>0.53611798297065238</v>
      </c>
      <c r="G81" s="49">
        <f>+G38*3/G34</f>
        <v>0.51016721833274803</v>
      </c>
      <c r="H81" s="34"/>
      <c r="I81" s="34"/>
      <c r="J81" s="37"/>
      <c r="K81" s="2"/>
      <c r="L81" s="2"/>
      <c r="M81" s="2"/>
      <c r="N81" s="2"/>
      <c r="O81" s="2"/>
      <c r="P81" s="2"/>
      <c r="Q81" s="2"/>
      <c r="R81" s="2"/>
      <c r="S81" s="3"/>
      <c r="T81" s="3"/>
      <c r="U81" s="3"/>
      <c r="V81" s="3"/>
    </row>
    <row r="82" spans="1:22" ht="15.75" x14ac:dyDescent="0.25">
      <c r="A82" s="33"/>
      <c r="B82" s="34"/>
      <c r="C82" s="39" t="s">
        <v>76</v>
      </c>
      <c r="D82" s="49">
        <f>+(D97-D117)/D97</f>
        <v>0.16575439067076095</v>
      </c>
      <c r="E82" s="49">
        <f>+(E97-E117)/E97</f>
        <v>0.3522399889197193</v>
      </c>
      <c r="F82" s="49">
        <f>+(F97-F117)/F97</f>
        <v>-10.900269080964808</v>
      </c>
      <c r="G82" s="49">
        <f>-(G97-G117)/G97</f>
        <v>-1.2956075903786268</v>
      </c>
      <c r="H82" s="34"/>
      <c r="I82" s="34"/>
      <c r="J82" s="37"/>
      <c r="K82" s="2"/>
      <c r="L82" s="2"/>
      <c r="M82" s="2"/>
      <c r="N82" s="2"/>
      <c r="O82" s="2"/>
      <c r="P82" s="2"/>
      <c r="Q82" s="2"/>
      <c r="R82" s="2"/>
      <c r="S82" s="3"/>
      <c r="T82" s="3"/>
      <c r="U82" s="3"/>
      <c r="V82" s="3"/>
    </row>
    <row r="83" spans="1:22" ht="15.75" x14ac:dyDescent="0.25">
      <c r="A83" s="33"/>
      <c r="B83" s="34"/>
      <c r="C83" s="39" t="s">
        <v>78</v>
      </c>
      <c r="D83" s="49">
        <f>+(D151+D162)/D38</f>
        <v>-8.3133517733543161E-2</v>
      </c>
      <c r="E83" s="49">
        <f>+(E151+E162)/E38</f>
        <v>3.817170521868845E-2</v>
      </c>
      <c r="F83" s="49">
        <f>+(F151+F162)/F38</f>
        <v>4.3746407395762868E-2</v>
      </c>
      <c r="G83" s="49">
        <f>(+G58+G44)/G38</f>
        <v>-8.8269862366678012E-2</v>
      </c>
      <c r="H83" s="34"/>
      <c r="I83" s="34"/>
      <c r="J83" s="37"/>
      <c r="K83" s="2"/>
      <c r="L83" s="2"/>
      <c r="M83" s="2"/>
      <c r="N83" s="2"/>
      <c r="O83" s="2"/>
      <c r="P83" s="2"/>
      <c r="Q83" s="2"/>
      <c r="R83" s="2"/>
      <c r="S83" s="3"/>
      <c r="T83" s="3"/>
      <c r="U83" s="3"/>
      <c r="V83" s="3"/>
    </row>
    <row r="84" spans="1:22" ht="15.75" x14ac:dyDescent="0.25">
      <c r="A84" s="33"/>
      <c r="B84" s="34"/>
      <c r="C84" s="34"/>
      <c r="D84" s="34"/>
      <c r="E84" s="34"/>
      <c r="F84" s="34"/>
      <c r="G84" s="34"/>
      <c r="H84" s="34"/>
      <c r="I84" s="34"/>
      <c r="J84" s="37"/>
      <c r="K84" s="2"/>
      <c r="L84" s="2"/>
      <c r="M84" s="2"/>
      <c r="N84" s="2"/>
      <c r="O84" s="2"/>
      <c r="P84" s="2"/>
      <c r="Q84" s="2"/>
      <c r="R84" s="2"/>
      <c r="S84" s="3"/>
      <c r="T84" s="3"/>
      <c r="U84" s="3"/>
      <c r="V84" s="3"/>
    </row>
    <row r="85" spans="1:22" ht="15.75" x14ac:dyDescent="0.25">
      <c r="A85" s="33" t="s">
        <v>82</v>
      </c>
      <c r="B85" s="34"/>
      <c r="C85" s="52" t="s">
        <v>83</v>
      </c>
      <c r="D85" s="43">
        <f>+$B$66*D77+$D$66*D78+$F$66*D79+$I$66*D80+$I$68*D81+$I$70*D82+$I$71*D83</f>
        <v>1.5481788990887484</v>
      </c>
      <c r="E85" s="43">
        <f>+$B$66*E77+$D$66*E78+$F$66*E79+$I$66*E80+$I$68*E81+$I$70*E82+$I$71*E83</f>
        <v>1.9624254269558954</v>
      </c>
      <c r="F85" s="43">
        <f>+$B$66*F77+$D$66*F78+$F$66*F79+$I$66*F80+$I$68*F81+$I$70*F82+$I$71*F83</f>
        <v>-10.181815469364048</v>
      </c>
      <c r="G85" s="43">
        <f>+$B$66*G77+$D$66*G78+$F$66*G79+$I$66*G80+$I$68*G81+$I$70*G82+$I$71*G83</f>
        <v>-0.79630311968671652</v>
      </c>
      <c r="H85" s="43"/>
      <c r="I85" s="34"/>
      <c r="J85" s="37"/>
      <c r="K85" s="2"/>
      <c r="L85" s="2"/>
      <c r="M85" s="2"/>
      <c r="N85" s="2"/>
      <c r="O85" s="2"/>
      <c r="P85" s="2"/>
      <c r="Q85" s="2"/>
      <c r="R85" s="2"/>
      <c r="S85" s="3"/>
      <c r="T85" s="3"/>
      <c r="U85" s="3"/>
      <c r="V85" s="3"/>
    </row>
    <row r="86" spans="1:22" ht="15.75" x14ac:dyDescent="0.25">
      <c r="A86" s="53"/>
      <c r="B86" s="23"/>
      <c r="C86" s="23"/>
      <c r="D86" s="23"/>
      <c r="E86" s="23"/>
      <c r="F86" s="23"/>
      <c r="G86" s="23"/>
      <c r="H86" s="23"/>
      <c r="I86" s="23"/>
      <c r="J86" s="54"/>
      <c r="K86" s="2"/>
      <c r="L86" s="2"/>
      <c r="M86" s="2"/>
      <c r="N86" s="2"/>
      <c r="O86" s="2"/>
      <c r="P86" s="2"/>
      <c r="Q86" s="2"/>
      <c r="R86" s="2"/>
      <c r="S86" s="3"/>
      <c r="T86" s="3"/>
      <c r="U86" s="3"/>
      <c r="V86" s="3"/>
    </row>
    <row r="87" spans="1:22" ht="15.75" x14ac:dyDescent="0.25">
      <c r="A87" s="28" t="s">
        <v>84</v>
      </c>
      <c r="B87" s="29"/>
      <c r="C87" s="29"/>
      <c r="D87" s="29"/>
      <c r="E87" s="29"/>
      <c r="F87" s="29"/>
      <c r="G87" s="5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  <c r="T87" s="3"/>
      <c r="U87" s="3"/>
      <c r="V87" s="3"/>
    </row>
    <row r="88" spans="1:22" ht="15.75" x14ac:dyDescent="0.25">
      <c r="A88" s="38"/>
      <c r="B88" s="34"/>
      <c r="C88" s="34"/>
      <c r="D88" s="34"/>
      <c r="E88" s="34"/>
      <c r="F88" s="34"/>
      <c r="G88" s="3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"/>
      <c r="T88" s="3"/>
      <c r="U88" s="3"/>
      <c r="V88" s="3"/>
    </row>
    <row r="89" spans="1:22" ht="15.75" x14ac:dyDescent="0.25">
      <c r="A89" s="33"/>
      <c r="B89" s="34"/>
      <c r="C89" s="34"/>
      <c r="D89" s="40" t="s">
        <v>85</v>
      </c>
      <c r="E89" s="40" t="s">
        <v>85</v>
      </c>
      <c r="F89" s="40" t="s">
        <v>85</v>
      </c>
      <c r="G89" s="45" t="s">
        <v>86</v>
      </c>
      <c r="H89" s="7"/>
      <c r="I89" s="2"/>
      <c r="J89" s="2"/>
      <c r="K89" s="2"/>
      <c r="L89" s="2"/>
      <c r="M89" s="2"/>
      <c r="N89" s="2"/>
      <c r="O89" s="2"/>
      <c r="P89" s="2"/>
      <c r="Q89" s="2"/>
      <c r="R89" s="2"/>
      <c r="S89" s="3"/>
      <c r="T89" s="3"/>
      <c r="U89" s="3"/>
      <c r="V89" s="3"/>
    </row>
    <row r="90" spans="1:22" ht="15.75" x14ac:dyDescent="0.25">
      <c r="A90" s="38" t="s">
        <v>87</v>
      </c>
      <c r="B90" s="34"/>
      <c r="C90" s="40" t="s">
        <v>88</v>
      </c>
      <c r="D90" s="40" t="s">
        <v>89</v>
      </c>
      <c r="E90" s="40" t="s">
        <v>90</v>
      </c>
      <c r="F90" s="40" t="s">
        <v>91</v>
      </c>
      <c r="G90" s="45" t="s">
        <v>92</v>
      </c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  <c r="T90" s="3"/>
      <c r="U90" s="3"/>
      <c r="V90" s="3"/>
    </row>
    <row r="91" spans="1:22" ht="15.75" x14ac:dyDescent="0.25">
      <c r="A91" s="33"/>
      <c r="B91" s="34"/>
      <c r="C91" s="34"/>
      <c r="D91" s="34"/>
      <c r="E91" s="34"/>
      <c r="F91" s="34"/>
      <c r="G91" s="3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3"/>
      <c r="U91" s="3"/>
      <c r="V91" s="3"/>
    </row>
    <row r="92" spans="1:22" ht="15.75" x14ac:dyDescent="0.25">
      <c r="A92" s="38" t="s">
        <v>93</v>
      </c>
      <c r="B92" s="34"/>
      <c r="C92" s="34"/>
      <c r="D92" s="34"/>
      <c r="E92" s="34"/>
      <c r="F92" s="34"/>
      <c r="G92" s="3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  <c r="T92" s="3"/>
      <c r="U92" s="3"/>
      <c r="V92" s="3"/>
    </row>
    <row r="93" spans="1:22" ht="15.75" x14ac:dyDescent="0.25">
      <c r="A93" s="33"/>
      <c r="B93" s="34"/>
      <c r="C93" s="34"/>
      <c r="D93" s="34"/>
      <c r="E93" s="34"/>
      <c r="F93" s="34"/>
      <c r="G93" s="3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  <c r="T93" s="3"/>
      <c r="U93" s="3"/>
      <c r="V93" s="3"/>
    </row>
    <row r="94" spans="1:22" ht="15.75" x14ac:dyDescent="0.25">
      <c r="A94" s="56" t="s">
        <v>94</v>
      </c>
      <c r="B94" s="34"/>
      <c r="C94" s="57" t="s">
        <v>95</v>
      </c>
      <c r="D94" s="58">
        <f>+D50/D21</f>
        <v>0.16139530755347792</v>
      </c>
      <c r="E94" s="58">
        <f>+E50/E21</f>
        <v>0.17208470026841635</v>
      </c>
      <c r="F94" s="58">
        <f>+F50/F21</f>
        <v>-0.11665348448897091</v>
      </c>
      <c r="G94" s="59">
        <f>+G50/G21</f>
        <v>-0.30858859739117689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  <c r="T94" s="3"/>
      <c r="U94" s="3"/>
      <c r="V94" s="3"/>
    </row>
    <row r="95" spans="1:22" ht="15.75" x14ac:dyDescent="0.25">
      <c r="A95" s="56"/>
      <c r="B95" s="34"/>
      <c r="C95" s="40" t="s">
        <v>96</v>
      </c>
      <c r="D95" s="34"/>
      <c r="E95" s="34"/>
      <c r="F95" s="34"/>
      <c r="G95" s="3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3"/>
    </row>
    <row r="96" spans="1:22" ht="15.75" x14ac:dyDescent="0.25">
      <c r="A96" s="56"/>
      <c r="B96" s="34"/>
      <c r="C96" s="34"/>
      <c r="D96" s="34"/>
      <c r="E96" s="34"/>
      <c r="F96" s="34"/>
      <c r="G96" s="3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</row>
    <row r="97" spans="1:22" ht="15.75" x14ac:dyDescent="0.25">
      <c r="A97" s="56" t="s">
        <v>97</v>
      </c>
      <c r="B97" s="34"/>
      <c r="C97" s="60" t="s">
        <v>98</v>
      </c>
      <c r="D97" s="58">
        <f>D48/+(D34-D32)</f>
        <v>0.10459454247420692</v>
      </c>
      <c r="E97" s="58">
        <f>E48/+(E34-E32)</f>
        <v>9.3991322760109602E-2</v>
      </c>
      <c r="F97" s="58">
        <f>F48/+(F34-F32)</f>
        <v>2.4249218791131538E-3</v>
      </c>
      <c r="G97" s="59">
        <f>G48*3.5/+(G34-G32)</f>
        <v>-8.4981846500695207E-2</v>
      </c>
      <c r="H97" s="61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</row>
    <row r="98" spans="1:22" ht="15.75" x14ac:dyDescent="0.25">
      <c r="A98" s="56"/>
      <c r="B98" s="34"/>
      <c r="C98" s="62" t="s">
        <v>99</v>
      </c>
      <c r="D98" s="34"/>
      <c r="E98" s="34"/>
      <c r="F98" s="34"/>
      <c r="G98" s="3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3"/>
    </row>
    <row r="99" spans="1:22" ht="15.75" x14ac:dyDescent="0.25">
      <c r="A99" s="56"/>
      <c r="B99" s="34"/>
      <c r="C99" s="34"/>
      <c r="D99" s="34"/>
      <c r="E99" s="34"/>
      <c r="F99" s="34"/>
      <c r="G99" s="3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3"/>
    </row>
    <row r="100" spans="1:22" ht="15.75" x14ac:dyDescent="0.25">
      <c r="A100" s="56" t="s">
        <v>100</v>
      </c>
      <c r="B100" s="34"/>
      <c r="C100" s="57" t="s">
        <v>98</v>
      </c>
      <c r="D100" s="58">
        <f>+D46/D38</f>
        <v>6.1097546542057714E-2</v>
      </c>
      <c r="E100" s="58">
        <f>+E46/E38</f>
        <v>7.4855550373314109E-2</v>
      </c>
      <c r="F100" s="58">
        <f>+F46/F38</f>
        <v>7.8028982193386115E-3</v>
      </c>
      <c r="G100" s="59">
        <f>+G46/G38</f>
        <v>-7.2463449730335347E-2</v>
      </c>
      <c r="H100" s="6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3"/>
    </row>
    <row r="101" spans="1:22" ht="15.75" x14ac:dyDescent="0.25">
      <c r="A101" s="33"/>
      <c r="B101" s="34"/>
      <c r="C101" s="40" t="s">
        <v>101</v>
      </c>
      <c r="D101" s="34"/>
      <c r="E101" s="34"/>
      <c r="F101" s="34"/>
      <c r="G101" s="3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3"/>
    </row>
    <row r="102" spans="1:22" ht="15.75" x14ac:dyDescent="0.25">
      <c r="A102" s="33"/>
      <c r="B102" s="34"/>
      <c r="C102" s="34"/>
      <c r="D102" s="34"/>
      <c r="E102" s="34"/>
      <c r="F102" s="34"/>
      <c r="G102" s="3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3"/>
    </row>
    <row r="103" spans="1:22" ht="15.75" x14ac:dyDescent="0.25">
      <c r="A103" s="38" t="s">
        <v>102</v>
      </c>
      <c r="B103" s="34"/>
      <c r="C103" s="41"/>
      <c r="D103" s="34"/>
      <c r="E103" s="34"/>
      <c r="F103" s="34"/>
      <c r="G103" s="3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3"/>
    </row>
    <row r="104" spans="1:22" ht="15.75" x14ac:dyDescent="0.25">
      <c r="A104" s="33"/>
      <c r="B104" s="34"/>
      <c r="C104" s="34"/>
      <c r="D104" s="34"/>
      <c r="E104" s="34"/>
      <c r="F104" s="34"/>
      <c r="G104" s="3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3"/>
    </row>
    <row r="105" spans="1:22" ht="15.75" x14ac:dyDescent="0.25">
      <c r="A105" s="112" t="s">
        <v>103</v>
      </c>
      <c r="B105" s="113"/>
      <c r="C105" s="57" t="s">
        <v>104</v>
      </c>
      <c r="D105" s="34">
        <f>+D17/D32</f>
        <v>1.4055686246971666</v>
      </c>
      <c r="E105" s="34">
        <f>+E17/E32</f>
        <v>1.7189740438357768</v>
      </c>
      <c r="F105" s="34">
        <f>+F17/F32</f>
        <v>1.3561045522269533</v>
      </c>
      <c r="G105" s="37">
        <f>+G17/G32</f>
        <v>1.2638951738249355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3"/>
      <c r="U105" s="3"/>
      <c r="V105" s="3"/>
    </row>
    <row r="106" spans="1:22" ht="15.75" x14ac:dyDescent="0.25">
      <c r="A106" s="33"/>
      <c r="B106" s="34"/>
      <c r="C106" s="40" t="s">
        <v>105</v>
      </c>
      <c r="D106" s="34"/>
      <c r="E106" s="34"/>
      <c r="F106" s="34"/>
      <c r="G106" s="3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3"/>
      <c r="V106" s="3"/>
    </row>
    <row r="107" spans="1:22" ht="15.75" x14ac:dyDescent="0.25">
      <c r="A107" s="33"/>
      <c r="B107" s="34"/>
      <c r="C107" s="34"/>
      <c r="D107" s="34"/>
      <c r="E107" s="34"/>
      <c r="F107" s="34"/>
      <c r="G107" s="3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3"/>
      <c r="U107" s="3"/>
      <c r="V107" s="3"/>
    </row>
    <row r="108" spans="1:22" ht="15.75" x14ac:dyDescent="0.25">
      <c r="A108" s="112" t="s">
        <v>106</v>
      </c>
      <c r="B108" s="113"/>
      <c r="C108" s="57" t="s">
        <v>107</v>
      </c>
      <c r="D108" s="34">
        <f>(+D15+D13+D14)/D32</f>
        <v>0.59892559952248869</v>
      </c>
      <c r="E108" s="34">
        <f>(+E15+E13+E14)/E32</f>
        <v>0.76204167032452519</v>
      </c>
      <c r="F108" s="34">
        <f>(+F15+F13+F14)/F32</f>
        <v>0.47492833967372805</v>
      </c>
      <c r="G108" s="37">
        <f>(+G15+G13+G14)/G32</f>
        <v>0.35339878411080727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  <c r="U108" s="3"/>
      <c r="V108" s="3"/>
    </row>
    <row r="109" spans="1:22" ht="15.75" x14ac:dyDescent="0.25">
      <c r="A109" s="33"/>
      <c r="B109" s="34"/>
      <c r="C109" s="40" t="s">
        <v>105</v>
      </c>
      <c r="D109" s="34"/>
      <c r="E109" s="34"/>
      <c r="F109" s="34"/>
      <c r="G109" s="3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  <c r="U109" s="3"/>
      <c r="V109" s="3"/>
    </row>
    <row r="110" spans="1:22" ht="15.75" x14ac:dyDescent="0.25">
      <c r="A110" s="38" t="s">
        <v>108</v>
      </c>
      <c r="B110" s="34"/>
      <c r="C110" s="34"/>
      <c r="D110" s="34"/>
      <c r="E110" s="34"/>
      <c r="F110" s="34"/>
      <c r="G110" s="3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  <c r="U110" s="3"/>
      <c r="V110" s="3"/>
    </row>
    <row r="111" spans="1:22" ht="15.75" x14ac:dyDescent="0.25">
      <c r="A111" s="33"/>
      <c r="B111" s="34"/>
      <c r="C111" s="34"/>
      <c r="D111" s="34"/>
      <c r="E111" s="34"/>
      <c r="F111" s="34"/>
      <c r="G111" s="3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  <c r="U111" s="3"/>
      <c r="V111" s="3"/>
    </row>
    <row r="112" spans="1:22" ht="15.75" x14ac:dyDescent="0.25">
      <c r="A112" s="112" t="s">
        <v>109</v>
      </c>
      <c r="B112" s="113"/>
      <c r="C112" s="57" t="s">
        <v>110</v>
      </c>
      <c r="D112" s="63">
        <f>(+D23+D24)/+D21</f>
        <v>2.5640699428977189</v>
      </c>
      <c r="E112" s="63">
        <f>(+E23+E24)/+E21</f>
        <v>2.10227988202936</v>
      </c>
      <c r="F112" s="63">
        <f>(+F23+F24)/+F21</f>
        <v>4.5193426487389052</v>
      </c>
      <c r="G112" s="64">
        <f>(+G23+G24)/+G21</f>
        <v>5.644608920807074</v>
      </c>
      <c r="H112" s="6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  <c r="U112" s="3"/>
      <c r="V112" s="3"/>
    </row>
    <row r="113" spans="1:22" ht="15.75" x14ac:dyDescent="0.25">
      <c r="A113" s="33"/>
      <c r="B113" s="34"/>
      <c r="C113" s="40" t="s">
        <v>111</v>
      </c>
      <c r="D113" s="34"/>
      <c r="E113" s="34"/>
      <c r="F113" s="34"/>
      <c r="G113" s="3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  <c r="U113" s="3"/>
      <c r="V113" s="3"/>
    </row>
    <row r="114" spans="1:22" ht="15.75" x14ac:dyDescent="0.25">
      <c r="A114" s="33"/>
      <c r="B114" s="34"/>
      <c r="C114" s="34"/>
      <c r="D114" s="34"/>
      <c r="E114" s="34"/>
      <c r="F114" s="34"/>
      <c r="G114" s="3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  <c r="U114" s="3"/>
      <c r="V114" s="3"/>
    </row>
    <row r="115" spans="1:22" ht="15.75" x14ac:dyDescent="0.25">
      <c r="A115" s="38" t="s">
        <v>112</v>
      </c>
      <c r="B115" s="34"/>
      <c r="C115" s="57" t="s">
        <v>113</v>
      </c>
      <c r="D115" s="34">
        <f>+D48/D49</f>
        <v>1.721370007934409</v>
      </c>
      <c r="E115" s="34">
        <f>+E48/E49</f>
        <v>2.3444660194174758</v>
      </c>
      <c r="F115" s="34">
        <f>+F48/F49</f>
        <v>0.10552560646900269</v>
      </c>
      <c r="G115" s="37">
        <f>+G48/G49</f>
        <v>-1.1762273901808786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  <c r="U115" s="3"/>
      <c r="V115" s="3"/>
    </row>
    <row r="116" spans="1:22" ht="15.75" x14ac:dyDescent="0.25">
      <c r="A116" s="33"/>
      <c r="B116" s="34"/>
      <c r="C116" s="40" t="s">
        <v>114</v>
      </c>
      <c r="D116" s="34"/>
      <c r="E116" s="34"/>
      <c r="F116" s="34"/>
      <c r="G116" s="3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  <c r="U116" s="3"/>
      <c r="V116" s="3"/>
    </row>
    <row r="117" spans="1:22" ht="15.75" x14ac:dyDescent="0.25">
      <c r="A117" s="33"/>
      <c r="B117" s="34"/>
      <c r="C117" s="40" t="s">
        <v>115</v>
      </c>
      <c r="D117" s="66">
        <f>+D49/(+D24+D23)</f>
        <v>8.7257537818907729E-2</v>
      </c>
      <c r="E117" s="66">
        <f>+E49/(+E24+E23)</f>
        <v>6.0883820272538837E-2</v>
      </c>
      <c r="F117" s="66">
        <f>+F49/(+F24+F23)</f>
        <v>2.8857222861765345E-2</v>
      </c>
      <c r="G117" s="66">
        <f>+G49/(+G24+G23)</f>
        <v>2.5121278869996842E-2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3"/>
    </row>
    <row r="118" spans="1:22" ht="30.75" customHeight="1" x14ac:dyDescent="0.25">
      <c r="A118" s="103" t="s">
        <v>116</v>
      </c>
      <c r="B118" s="104"/>
      <c r="C118" s="67" t="s">
        <v>117</v>
      </c>
      <c r="D118" s="68">
        <f>(+D46+D44)/(+D23+D24)</f>
        <v>0.30019731604029404</v>
      </c>
      <c r="E118" s="68">
        <f>(+E46+E44)/(+E23+E24)</f>
        <v>0.26909466350359784</v>
      </c>
      <c r="F118" s="68">
        <f>(+F46+F44)/(+F23+F24)</f>
        <v>0.10276982670109829</v>
      </c>
      <c r="G118" s="69">
        <f>(+G46+G44)*3.5/(+G23+G24)</f>
        <v>2.0053747852466039E-2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3"/>
    </row>
    <row r="119" spans="1:22" ht="31.5" x14ac:dyDescent="0.25">
      <c r="A119" s="70"/>
      <c r="B119" s="44"/>
      <c r="C119" s="71" t="s">
        <v>118</v>
      </c>
      <c r="D119" s="44"/>
      <c r="E119" s="44"/>
      <c r="F119" s="44"/>
      <c r="G119" s="7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  <c r="U119" s="3"/>
      <c r="V119" s="3"/>
    </row>
    <row r="120" spans="1:22" ht="15.75" x14ac:dyDescent="0.25">
      <c r="A120" s="33"/>
      <c r="B120" s="34"/>
      <c r="C120" s="40"/>
      <c r="D120" s="34"/>
      <c r="E120" s="34"/>
      <c r="F120" s="34"/>
      <c r="G120" s="3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  <c r="U120" s="3"/>
      <c r="V120" s="3"/>
    </row>
    <row r="121" spans="1:22" ht="15.75" x14ac:dyDescent="0.25">
      <c r="A121" s="38" t="s">
        <v>119</v>
      </c>
      <c r="B121" s="34"/>
      <c r="C121" s="34"/>
      <c r="D121" s="34"/>
      <c r="E121" s="34"/>
      <c r="F121" s="34"/>
      <c r="G121" s="3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  <c r="U121" s="3"/>
      <c r="V121" s="3"/>
    </row>
    <row r="122" spans="1:22" ht="15.75" x14ac:dyDescent="0.25">
      <c r="A122" s="33"/>
      <c r="B122" s="34"/>
      <c r="C122" s="34"/>
      <c r="D122" s="34"/>
      <c r="E122" s="34"/>
      <c r="F122" s="34"/>
      <c r="G122" s="3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  <c r="U122" s="3"/>
      <c r="V122" s="3"/>
    </row>
    <row r="123" spans="1:22" ht="63" x14ac:dyDescent="0.25">
      <c r="A123" s="103" t="s">
        <v>120</v>
      </c>
      <c r="B123" s="104"/>
      <c r="C123" s="67" t="s">
        <v>121</v>
      </c>
      <c r="D123" s="58">
        <f>(+D21-D6)/(D19-D6)</f>
        <v>-0.17438002296211252</v>
      </c>
      <c r="E123" s="58">
        <f>(+E21-E6)/(E19-E6)</f>
        <v>-8.1120398649734776E-2</v>
      </c>
      <c r="F123" s="58">
        <f>(+F21-F6)/(F19-F6)</f>
        <v>-0.38339283898006715</v>
      </c>
      <c r="G123" s="59">
        <f>(+G21-G6)/(G19-G6)</f>
        <v>-0.4535656325705012</v>
      </c>
      <c r="H123" s="6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  <c r="U123" s="3"/>
      <c r="V123" s="3"/>
    </row>
    <row r="124" spans="1:22" ht="47.25" x14ac:dyDescent="0.25">
      <c r="A124" s="70"/>
      <c r="B124" s="44"/>
      <c r="C124" s="71" t="s">
        <v>122</v>
      </c>
      <c r="D124" s="63"/>
      <c r="E124" s="34"/>
      <c r="F124" s="34"/>
      <c r="G124" s="3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3"/>
    </row>
    <row r="125" spans="1:22" ht="15.75" x14ac:dyDescent="0.25">
      <c r="A125" s="73"/>
      <c r="B125" s="74"/>
      <c r="C125" s="74"/>
      <c r="D125" s="74"/>
      <c r="E125" s="74"/>
      <c r="F125" s="74"/>
      <c r="G125" s="75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</row>
    <row r="126" spans="1:22" ht="15.75" x14ac:dyDescent="0.25">
      <c r="A126" s="105" t="s">
        <v>123</v>
      </c>
      <c r="B126" s="106"/>
      <c r="C126" s="74"/>
      <c r="D126" s="74"/>
      <c r="E126" s="74"/>
      <c r="F126" s="74"/>
      <c r="G126" s="75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</row>
    <row r="127" spans="1:22" ht="15.75" x14ac:dyDescent="0.25">
      <c r="A127" s="73"/>
      <c r="B127" s="74"/>
      <c r="C127" s="74"/>
      <c r="D127" s="74"/>
      <c r="E127" s="74"/>
      <c r="F127" s="74"/>
      <c r="G127" s="75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</row>
    <row r="128" spans="1:22" ht="15.75" x14ac:dyDescent="0.25">
      <c r="A128" s="105" t="s">
        <v>124</v>
      </c>
      <c r="B128" s="106"/>
      <c r="C128" s="60" t="s">
        <v>125</v>
      </c>
      <c r="D128" s="43">
        <f>D38/D34</f>
        <v>0.95700489982212977</v>
      </c>
      <c r="E128" s="43">
        <f>E38/E34</f>
        <v>0.78764041532576357</v>
      </c>
      <c r="F128" s="43">
        <f>F38/F34</f>
        <v>0.53611798297065238</v>
      </c>
      <c r="G128" s="77">
        <f>G38*3/G34</f>
        <v>0.51016721833274803</v>
      </c>
      <c r="H128" s="78"/>
      <c r="I128" s="76"/>
      <c r="J128" s="76"/>
      <c r="K128" s="76"/>
      <c r="L128" s="76"/>
      <c r="M128" s="76"/>
      <c r="N128" s="76"/>
      <c r="O128" s="76"/>
      <c r="P128" s="76"/>
      <c r="Q128" s="76"/>
      <c r="R128" s="76"/>
    </row>
    <row r="129" spans="1:18" ht="15.75" x14ac:dyDescent="0.25">
      <c r="A129" s="33"/>
      <c r="B129" s="34"/>
      <c r="C129" s="62" t="s">
        <v>126</v>
      </c>
      <c r="D129" s="63"/>
      <c r="E129" s="34"/>
      <c r="F129" s="34"/>
      <c r="G129" s="37"/>
      <c r="H129" s="2"/>
      <c r="I129" s="76"/>
      <c r="J129" s="76"/>
      <c r="K129" s="76"/>
      <c r="L129" s="76"/>
      <c r="M129" s="76"/>
      <c r="N129" s="76"/>
      <c r="O129" s="76"/>
      <c r="P129" s="76"/>
      <c r="Q129" s="76"/>
      <c r="R129" s="76"/>
    </row>
    <row r="130" spans="1:18" ht="15.75" x14ac:dyDescent="0.25">
      <c r="A130" s="73"/>
      <c r="B130" s="74"/>
      <c r="C130" s="74"/>
      <c r="D130" s="74"/>
      <c r="E130" s="74"/>
      <c r="F130" s="74"/>
      <c r="G130" s="7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</row>
    <row r="131" spans="1:18" ht="32.25" customHeight="1" x14ac:dyDescent="0.25">
      <c r="A131" s="103" t="s">
        <v>127</v>
      </c>
      <c r="B131" s="104"/>
      <c r="C131" s="60" t="s">
        <v>101</v>
      </c>
      <c r="D131" s="43">
        <f>+D38/D12</f>
        <v>2.4824475494036737</v>
      </c>
      <c r="E131" s="43">
        <f>+E38/E12</f>
        <v>1.983356905317075</v>
      </c>
      <c r="F131" s="43">
        <f>+F38/F12</f>
        <v>1.3513131920006867</v>
      </c>
      <c r="G131" s="77">
        <f>+G38*3/G12</f>
        <v>1.1803370082415328</v>
      </c>
      <c r="H131" s="61"/>
      <c r="I131" s="76"/>
      <c r="J131" s="76"/>
      <c r="K131" s="76"/>
      <c r="L131" s="76"/>
      <c r="M131" s="76"/>
      <c r="N131" s="76"/>
      <c r="O131" s="76"/>
      <c r="P131" s="76"/>
      <c r="Q131" s="76"/>
      <c r="R131" s="76"/>
    </row>
    <row r="132" spans="1:18" ht="15.75" x14ac:dyDescent="0.25">
      <c r="A132" s="79"/>
      <c r="B132" s="80"/>
      <c r="C132" s="81" t="s">
        <v>128</v>
      </c>
      <c r="D132" s="80"/>
      <c r="E132" s="80"/>
      <c r="F132" s="80"/>
      <c r="G132" s="82"/>
      <c r="H132" s="2"/>
      <c r="I132" s="76"/>
      <c r="J132" s="76"/>
      <c r="K132" s="76"/>
      <c r="L132" s="76"/>
      <c r="M132" s="76"/>
      <c r="N132" s="76"/>
      <c r="O132" s="76"/>
      <c r="P132" s="76"/>
      <c r="Q132" s="76"/>
      <c r="R132" s="76"/>
    </row>
    <row r="133" spans="1:18" ht="15.75" customHeight="1" x14ac:dyDescent="0.25">
      <c r="A133" s="83" t="s">
        <v>129</v>
      </c>
      <c r="B133" s="83"/>
      <c r="C133" s="84"/>
      <c r="D133" s="85"/>
      <c r="E133" s="85"/>
      <c r="F133" s="8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</row>
    <row r="134" spans="1:18" ht="15.75" x14ac:dyDescent="0.25">
      <c r="A134" s="38"/>
      <c r="B134" s="40"/>
      <c r="C134" s="40"/>
      <c r="D134" s="87">
        <v>2000</v>
      </c>
      <c r="E134" s="87">
        <v>2001</v>
      </c>
      <c r="F134" s="88">
        <v>2002</v>
      </c>
      <c r="G134" s="87"/>
    </row>
    <row r="135" spans="1:18" ht="15.75" x14ac:dyDescent="0.25">
      <c r="A135" s="38"/>
      <c r="B135" s="40"/>
      <c r="C135" s="40"/>
      <c r="D135" s="87"/>
      <c r="E135" s="87"/>
      <c r="F135" s="88"/>
      <c r="G135" s="87"/>
    </row>
    <row r="136" spans="1:18" ht="15.75" x14ac:dyDescent="0.25">
      <c r="A136" s="38" t="s">
        <v>130</v>
      </c>
      <c r="B136" s="40"/>
      <c r="C136" s="40"/>
      <c r="D136" s="89">
        <f>+D46</f>
        <v>13938</v>
      </c>
      <c r="E136" s="89">
        <f>+E46</f>
        <v>19420</v>
      </c>
      <c r="F136" s="90">
        <f>+F46</f>
        <v>2457</v>
      </c>
      <c r="G136" s="89"/>
    </row>
    <row r="137" spans="1:18" ht="15.75" x14ac:dyDescent="0.25">
      <c r="A137" s="38" t="s">
        <v>131</v>
      </c>
      <c r="B137" s="40"/>
      <c r="C137" s="40"/>
      <c r="D137" s="89">
        <f>+D44</f>
        <v>12078</v>
      </c>
      <c r="E137" s="89">
        <f>+E44</f>
        <v>14723</v>
      </c>
      <c r="F137" s="90">
        <f>+F44</f>
        <v>23968</v>
      </c>
      <c r="G137" s="89"/>
    </row>
    <row r="138" spans="1:18" ht="15.75" x14ac:dyDescent="0.25">
      <c r="A138" s="38"/>
      <c r="B138" s="91" t="s">
        <v>117</v>
      </c>
      <c r="C138" s="40"/>
      <c r="D138" s="92">
        <f>SUM(D136:D137)</f>
        <v>26016</v>
      </c>
      <c r="E138" s="92">
        <f>SUM(E136:E137)</f>
        <v>34143</v>
      </c>
      <c r="F138" s="93">
        <f>SUM(F136:F137)</f>
        <v>26425</v>
      </c>
      <c r="G138" s="92"/>
    </row>
    <row r="139" spans="1:18" ht="15.75" x14ac:dyDescent="0.25">
      <c r="A139" s="38" t="s">
        <v>132</v>
      </c>
      <c r="B139" s="40"/>
      <c r="C139" s="40"/>
      <c r="D139" s="94">
        <v>-480</v>
      </c>
      <c r="E139" s="89">
        <f>+E13-D13</f>
        <v>-4086</v>
      </c>
      <c r="F139" s="90">
        <f>+F13-E13</f>
        <v>5670</v>
      </c>
      <c r="G139" s="40"/>
    </row>
    <row r="140" spans="1:18" ht="15.75" x14ac:dyDescent="0.25">
      <c r="A140" s="38" t="s">
        <v>133</v>
      </c>
      <c r="B140" s="40"/>
      <c r="C140" s="40"/>
      <c r="D140" s="94">
        <v>19792</v>
      </c>
      <c r="E140" s="89">
        <f>+E12-D12</f>
        <v>38909</v>
      </c>
      <c r="F140" s="90">
        <f>+F12-E12</f>
        <v>102215</v>
      </c>
      <c r="G140" s="40"/>
    </row>
    <row r="141" spans="1:18" ht="15.75" x14ac:dyDescent="0.25">
      <c r="A141" s="38" t="s">
        <v>134</v>
      </c>
      <c r="B141" s="40"/>
      <c r="C141" s="40"/>
      <c r="D141" s="94">
        <v>3804</v>
      </c>
      <c r="E141" s="89">
        <f>+E14-D14</f>
        <v>-4692</v>
      </c>
      <c r="F141" s="90">
        <f>+F14-E14</f>
        <v>28273</v>
      </c>
      <c r="G141" s="40"/>
    </row>
    <row r="142" spans="1:18" ht="15.75" x14ac:dyDescent="0.25">
      <c r="A142" s="38"/>
      <c r="B142" s="40"/>
      <c r="C142" s="40"/>
      <c r="D142" s="89"/>
      <c r="E142" s="89"/>
      <c r="F142" s="90"/>
      <c r="G142" s="40"/>
    </row>
    <row r="143" spans="1:18" ht="15.75" x14ac:dyDescent="0.25">
      <c r="A143" s="38" t="s">
        <v>135</v>
      </c>
      <c r="B143" s="40"/>
      <c r="C143" s="40"/>
      <c r="D143" s="89">
        <v>11641</v>
      </c>
      <c r="E143" s="89">
        <f>+E28-D28</f>
        <v>19190</v>
      </c>
      <c r="F143" s="90">
        <f>+F28-E28</f>
        <v>108375</v>
      </c>
      <c r="G143" s="40"/>
    </row>
    <row r="144" spans="1:18" ht="15.75" x14ac:dyDescent="0.25">
      <c r="A144" s="38" t="s">
        <v>136</v>
      </c>
      <c r="B144" s="40"/>
      <c r="C144" s="40"/>
      <c r="D144" s="89">
        <v>-23720</v>
      </c>
      <c r="E144" s="89">
        <f>+E29-D29</f>
        <v>3578</v>
      </c>
      <c r="F144" s="90">
        <f>+F29-E29</f>
        <v>19375</v>
      </c>
      <c r="G144" s="40"/>
    </row>
    <row r="145" spans="1:7" ht="15.75" x14ac:dyDescent="0.25">
      <c r="A145" s="38"/>
      <c r="B145" s="40"/>
      <c r="C145" s="40"/>
      <c r="D145" s="89"/>
      <c r="E145" s="89"/>
      <c r="F145" s="90"/>
      <c r="G145" s="40"/>
    </row>
    <row r="146" spans="1:7" ht="15.75" x14ac:dyDescent="0.25">
      <c r="A146" s="38"/>
      <c r="B146" s="40" t="s">
        <v>137</v>
      </c>
      <c r="C146" s="40"/>
      <c r="D146" s="89">
        <f>+D139+D140+D141-D143-D144</f>
        <v>35195</v>
      </c>
      <c r="E146" s="89">
        <f>+E139+E140+E141-E143-E144</f>
        <v>7363</v>
      </c>
      <c r="F146" s="90">
        <f>+F139+F140+F141-F143-F144</f>
        <v>8408</v>
      </c>
      <c r="G146" s="40"/>
    </row>
    <row r="147" spans="1:7" ht="15.75" x14ac:dyDescent="0.25">
      <c r="A147" s="38"/>
      <c r="B147" s="40" t="s">
        <v>138</v>
      </c>
      <c r="C147" s="40"/>
      <c r="D147" s="89">
        <f>+D138-D146</f>
        <v>-9179</v>
      </c>
      <c r="E147" s="89">
        <f>+E138-E146</f>
        <v>26780</v>
      </c>
      <c r="F147" s="90">
        <f>+F138-F146</f>
        <v>18017</v>
      </c>
      <c r="G147" s="40"/>
    </row>
    <row r="148" spans="1:7" ht="15.75" x14ac:dyDescent="0.25">
      <c r="A148" s="38"/>
      <c r="B148" s="40"/>
      <c r="C148" s="40"/>
      <c r="D148" s="89"/>
      <c r="E148" s="89"/>
      <c r="F148" s="90"/>
      <c r="G148" s="40"/>
    </row>
    <row r="149" spans="1:7" ht="15.75" x14ac:dyDescent="0.25">
      <c r="A149" s="38" t="s">
        <v>139</v>
      </c>
      <c r="B149" s="40"/>
      <c r="C149" s="40"/>
      <c r="D149" s="89">
        <f>+D55</f>
        <v>-661</v>
      </c>
      <c r="E149" s="89">
        <f>+E55</f>
        <v>-1686</v>
      </c>
      <c r="F149" s="90">
        <f>+F55</f>
        <v>7528</v>
      </c>
      <c r="G149" s="40"/>
    </row>
    <row r="150" spans="1:7" ht="15.75" x14ac:dyDescent="0.25">
      <c r="A150" s="38" t="s">
        <v>140</v>
      </c>
      <c r="B150" s="40"/>
      <c r="C150" s="40"/>
      <c r="D150" s="89">
        <v>1563</v>
      </c>
      <c r="E150" s="89">
        <f>+E51</f>
        <v>7466</v>
      </c>
      <c r="F150" s="90">
        <f>+F51</f>
        <v>4350</v>
      </c>
      <c r="G150" s="40"/>
    </row>
    <row r="151" spans="1:7" ht="30" customHeight="1" x14ac:dyDescent="0.25">
      <c r="A151" s="38"/>
      <c r="B151" s="102" t="s">
        <v>141</v>
      </c>
      <c r="C151" s="102"/>
      <c r="D151" s="89">
        <f>+D147+D149-D150</f>
        <v>-11403</v>
      </c>
      <c r="E151" s="89">
        <f>+E147+E149-E150</f>
        <v>17628</v>
      </c>
      <c r="F151" s="90">
        <f>+F147+F149-F150</f>
        <v>21195</v>
      </c>
      <c r="G151" s="40"/>
    </row>
    <row r="152" spans="1:7" ht="15.75" x14ac:dyDescent="0.25">
      <c r="A152" s="38"/>
      <c r="B152" s="40"/>
      <c r="C152" s="40"/>
      <c r="D152" s="89"/>
      <c r="E152" s="89"/>
      <c r="F152" s="90"/>
      <c r="G152" s="40"/>
    </row>
    <row r="153" spans="1:7" ht="15.75" x14ac:dyDescent="0.25">
      <c r="A153" s="38" t="s">
        <v>142</v>
      </c>
      <c r="B153" s="40"/>
      <c r="C153" s="40"/>
      <c r="D153" s="89">
        <v>13391</v>
      </c>
      <c r="E153" s="89">
        <v>-2269</v>
      </c>
      <c r="F153" s="90">
        <f>-F7+E7-2200</f>
        <v>-12520</v>
      </c>
      <c r="G153" s="40"/>
    </row>
    <row r="154" spans="1:7" ht="15.75" x14ac:dyDescent="0.25">
      <c r="A154" s="38" t="s">
        <v>143</v>
      </c>
      <c r="B154" s="40"/>
      <c r="C154" s="40"/>
      <c r="D154" s="89">
        <v>-30011</v>
      </c>
      <c r="E154" s="89">
        <v>-29218</v>
      </c>
      <c r="F154" s="90">
        <f>-F6+E6-12000</f>
        <v>-135362</v>
      </c>
      <c r="G154" s="40"/>
    </row>
    <row r="155" spans="1:7" ht="15.75" x14ac:dyDescent="0.25">
      <c r="A155" s="38" t="s">
        <v>144</v>
      </c>
      <c r="B155" s="40"/>
      <c r="C155" s="40"/>
      <c r="D155" s="89">
        <v>-1158</v>
      </c>
      <c r="E155" s="89">
        <v>2683</v>
      </c>
      <c r="F155" s="90">
        <f>-F8-E8</f>
        <v>-5678</v>
      </c>
      <c r="G155" s="95"/>
    </row>
    <row r="156" spans="1:7" ht="15.75" x14ac:dyDescent="0.25">
      <c r="A156" s="38"/>
      <c r="B156" s="40"/>
      <c r="C156" s="40"/>
      <c r="D156" s="89"/>
      <c r="E156" s="89"/>
      <c r="F156" s="90"/>
      <c r="G156" s="40"/>
    </row>
    <row r="157" spans="1:7" ht="48.75" customHeight="1" x14ac:dyDescent="0.25">
      <c r="A157" s="38"/>
      <c r="B157" s="107" t="s">
        <v>145</v>
      </c>
      <c r="C157" s="107"/>
      <c r="D157" s="96">
        <f>SUM(D153:D156)</f>
        <v>-17778</v>
      </c>
      <c r="E157" s="96">
        <f>SUM(E153:E156)</f>
        <v>-28804</v>
      </c>
      <c r="F157" s="97">
        <f>SUM(F153:F156)</f>
        <v>-153560</v>
      </c>
      <c r="G157" s="40"/>
    </row>
    <row r="158" spans="1:7" ht="15.75" x14ac:dyDescent="0.25">
      <c r="A158" s="38"/>
      <c r="B158" s="40" t="s">
        <v>146</v>
      </c>
      <c r="C158" s="40"/>
      <c r="D158" s="96">
        <f>+D151+D157</f>
        <v>-29181</v>
      </c>
      <c r="E158" s="96">
        <f>+E151+E157</f>
        <v>-11176</v>
      </c>
      <c r="F158" s="97">
        <f>+F151+F157</f>
        <v>-132365</v>
      </c>
      <c r="G158" s="40"/>
    </row>
    <row r="159" spans="1:7" ht="15.75" x14ac:dyDescent="0.25">
      <c r="A159" s="38"/>
      <c r="B159" s="40"/>
      <c r="C159" s="40"/>
      <c r="D159" s="89"/>
      <c r="E159" s="89"/>
      <c r="F159" s="90"/>
      <c r="G159" s="40"/>
    </row>
    <row r="160" spans="1:7" ht="15.75" x14ac:dyDescent="0.25">
      <c r="A160" s="38" t="s">
        <v>147</v>
      </c>
      <c r="B160" s="40"/>
      <c r="C160" s="40"/>
      <c r="D160" s="89">
        <v>20933</v>
      </c>
      <c r="E160" s="89">
        <f>+E23-D23+E24-D24</f>
        <v>40218</v>
      </c>
      <c r="F160" s="90">
        <f>+F23-E23+F24-E24</f>
        <v>130247</v>
      </c>
      <c r="G160" s="40"/>
    </row>
    <row r="161" spans="1:7" ht="15.75" x14ac:dyDescent="0.25">
      <c r="A161" s="38" t="s">
        <v>148</v>
      </c>
      <c r="B161" s="40"/>
      <c r="C161" s="40"/>
      <c r="D161" s="89">
        <v>-18307</v>
      </c>
      <c r="E161" s="89">
        <v>-93</v>
      </c>
      <c r="F161" s="90">
        <v>-1747</v>
      </c>
      <c r="G161" s="40"/>
    </row>
    <row r="162" spans="1:7" ht="15.75" x14ac:dyDescent="0.25">
      <c r="A162" s="38" t="s">
        <v>40</v>
      </c>
      <c r="B162" s="40"/>
      <c r="C162" s="40"/>
      <c r="D162" s="89">
        <f>-D49</f>
        <v>-7562</v>
      </c>
      <c r="E162" s="89">
        <f>-E49</f>
        <v>-7725</v>
      </c>
      <c r="F162" s="90">
        <f>-F49</f>
        <v>-7420</v>
      </c>
      <c r="G162" s="89"/>
    </row>
    <row r="163" spans="1:7" ht="15.75" x14ac:dyDescent="0.25">
      <c r="A163" s="38" t="s">
        <v>149</v>
      </c>
      <c r="B163" s="40"/>
      <c r="C163" s="40"/>
      <c r="D163" s="89">
        <v>21441</v>
      </c>
      <c r="E163" s="89">
        <v>24978</v>
      </c>
      <c r="F163" s="90">
        <v>0</v>
      </c>
      <c r="G163" s="40"/>
    </row>
    <row r="164" spans="1:7" ht="15.75" x14ac:dyDescent="0.25">
      <c r="A164" s="38"/>
      <c r="B164" s="40"/>
      <c r="C164" s="40"/>
      <c r="D164" s="89"/>
      <c r="E164" s="89"/>
      <c r="F164" s="90"/>
      <c r="G164" s="40"/>
    </row>
    <row r="165" spans="1:7" ht="36" customHeight="1" x14ac:dyDescent="0.25">
      <c r="A165" s="38"/>
      <c r="B165" s="102" t="s">
        <v>150</v>
      </c>
      <c r="C165" s="102"/>
      <c r="D165" s="96">
        <f>SUM(D160:D164)</f>
        <v>16505</v>
      </c>
      <c r="E165" s="89">
        <f>SUM(E160:E163)</f>
        <v>57378</v>
      </c>
      <c r="F165" s="90">
        <f>SUM(F160:F163)</f>
        <v>121080</v>
      </c>
      <c r="G165" s="40"/>
    </row>
    <row r="166" spans="1:7" ht="15.75" x14ac:dyDescent="0.25">
      <c r="A166" s="38"/>
      <c r="B166" s="102"/>
      <c r="C166" s="102"/>
      <c r="D166" s="89"/>
      <c r="E166" s="89"/>
      <c r="F166" s="90"/>
      <c r="G166" s="40"/>
    </row>
    <row r="167" spans="1:7" ht="30" customHeight="1" x14ac:dyDescent="0.25">
      <c r="A167" s="70"/>
      <c r="B167" s="102" t="s">
        <v>151</v>
      </c>
      <c r="C167" s="102"/>
      <c r="D167" s="89">
        <v>-1552</v>
      </c>
      <c r="E167" s="89">
        <v>-1491</v>
      </c>
      <c r="F167" s="90">
        <v>-1232</v>
      </c>
      <c r="G167" s="40"/>
    </row>
    <row r="168" spans="1:7" ht="15.75" x14ac:dyDescent="0.25">
      <c r="A168" s="98"/>
      <c r="B168" s="99" t="s">
        <v>152</v>
      </c>
      <c r="C168" s="99"/>
      <c r="D168" s="100">
        <v>-9292</v>
      </c>
      <c r="E168" s="100">
        <f>+E15-D15</f>
        <v>44711</v>
      </c>
      <c r="F168" s="101">
        <f>+F15-E15</f>
        <v>-12517</v>
      </c>
      <c r="G168" s="40"/>
    </row>
    <row r="169" spans="1:7" ht="15.75" x14ac:dyDescent="0.25">
      <c r="A169" s="40"/>
      <c r="B169" s="40"/>
      <c r="C169" s="40"/>
      <c r="D169" s="89"/>
      <c r="E169" s="89"/>
      <c r="F169" s="89"/>
      <c r="G169" s="40"/>
    </row>
    <row r="170" spans="1:7" ht="15.75" x14ac:dyDescent="0.25">
      <c r="A170" s="40"/>
      <c r="B170" s="40"/>
      <c r="C170" s="40"/>
      <c r="D170" s="89"/>
      <c r="E170" s="89"/>
      <c r="F170" s="89"/>
      <c r="G170" s="40"/>
    </row>
    <row r="171" spans="1:7" ht="15.75" x14ac:dyDescent="0.25">
      <c r="A171" s="40"/>
      <c r="B171" s="40"/>
      <c r="C171" s="40"/>
      <c r="D171" s="89"/>
      <c r="E171" s="89"/>
      <c r="F171" s="89"/>
      <c r="G171" s="40"/>
    </row>
    <row r="172" spans="1:7" ht="15.75" x14ac:dyDescent="0.25">
      <c r="A172" s="40"/>
      <c r="B172" s="40"/>
      <c r="C172" s="40"/>
      <c r="D172" s="89"/>
      <c r="E172" s="89"/>
      <c r="F172" s="89"/>
      <c r="G172" s="40"/>
    </row>
    <row r="173" spans="1:7" ht="15.75" x14ac:dyDescent="0.25">
      <c r="A173" s="40"/>
      <c r="B173" s="40"/>
      <c r="C173" s="40"/>
      <c r="D173" s="89"/>
      <c r="E173" s="89"/>
      <c r="F173" s="89"/>
      <c r="G173" s="40"/>
    </row>
    <row r="174" spans="1:7" ht="15.75" x14ac:dyDescent="0.25">
      <c r="A174" s="40"/>
      <c r="B174" s="40"/>
      <c r="C174" s="40"/>
      <c r="D174" s="89"/>
      <c r="E174" s="89"/>
      <c r="F174" s="89"/>
      <c r="G174" s="40"/>
    </row>
    <row r="175" spans="1:7" ht="15.75" x14ac:dyDescent="0.25">
      <c r="A175" s="40"/>
      <c r="B175" s="40"/>
      <c r="C175" s="40"/>
      <c r="D175" s="89"/>
      <c r="E175" s="89"/>
      <c r="F175" s="89"/>
      <c r="G175" s="40"/>
    </row>
    <row r="176" spans="1:7" ht="15.75" x14ac:dyDescent="0.25">
      <c r="A176" s="40"/>
      <c r="B176" s="40"/>
      <c r="C176" s="40"/>
      <c r="D176" s="89"/>
      <c r="E176" s="89"/>
      <c r="F176" s="89"/>
      <c r="G176" s="40"/>
    </row>
    <row r="177" spans="1:7" ht="15.75" x14ac:dyDescent="0.25">
      <c r="A177" s="40"/>
      <c r="B177" s="40"/>
      <c r="C177" s="40"/>
      <c r="D177" s="89"/>
      <c r="E177" s="89"/>
      <c r="F177" s="89"/>
      <c r="G177" s="40"/>
    </row>
    <row r="178" spans="1:7" ht="15.75" x14ac:dyDescent="0.25">
      <c r="A178" s="40"/>
      <c r="B178" s="40"/>
      <c r="C178" s="40"/>
      <c r="D178" s="89"/>
      <c r="E178" s="89"/>
      <c r="F178" s="89"/>
      <c r="G178" s="40"/>
    </row>
    <row r="179" spans="1:7" ht="15.75" x14ac:dyDescent="0.25">
      <c r="A179" s="40"/>
      <c r="B179" s="40"/>
      <c r="C179" s="40"/>
      <c r="D179" s="89"/>
      <c r="E179" s="89"/>
      <c r="F179" s="89"/>
      <c r="G179" s="40"/>
    </row>
    <row r="180" spans="1:7" ht="15.75" x14ac:dyDescent="0.25">
      <c r="A180" s="40"/>
      <c r="B180" s="40"/>
      <c r="C180" s="40"/>
      <c r="D180" s="89"/>
      <c r="E180" s="89"/>
      <c r="F180" s="89"/>
      <c r="G180" s="40"/>
    </row>
    <row r="181" spans="1:7" ht="15.75" x14ac:dyDescent="0.25">
      <c r="A181" s="40"/>
      <c r="B181" s="40"/>
      <c r="C181" s="40"/>
      <c r="D181" s="89"/>
      <c r="E181" s="89"/>
      <c r="F181" s="89"/>
      <c r="G181" s="40"/>
    </row>
    <row r="182" spans="1:7" ht="15.75" x14ac:dyDescent="0.25">
      <c r="A182" s="40"/>
      <c r="B182" s="40"/>
      <c r="C182" s="40"/>
      <c r="D182" s="89"/>
      <c r="E182" s="89"/>
      <c r="F182" s="89"/>
      <c r="G182" s="40"/>
    </row>
    <row r="183" spans="1:7" ht="15.75" x14ac:dyDescent="0.25">
      <c r="A183" s="40"/>
      <c r="B183" s="40"/>
      <c r="C183" s="40"/>
      <c r="D183" s="89"/>
      <c r="E183" s="89"/>
      <c r="F183" s="89"/>
      <c r="G183" s="40"/>
    </row>
    <row r="184" spans="1:7" ht="15.75" x14ac:dyDescent="0.25">
      <c r="A184" s="40"/>
      <c r="B184" s="40"/>
      <c r="C184" s="40"/>
      <c r="D184" s="89"/>
      <c r="E184" s="89"/>
      <c r="F184" s="89"/>
      <c r="G184" s="40"/>
    </row>
    <row r="185" spans="1:7" ht="15.75" x14ac:dyDescent="0.25">
      <c r="A185" s="40"/>
      <c r="B185" s="40"/>
      <c r="C185" s="40"/>
      <c r="D185" s="89"/>
      <c r="E185" s="89"/>
      <c r="F185" s="89"/>
      <c r="G185" s="40"/>
    </row>
    <row r="186" spans="1:7" ht="15.75" x14ac:dyDescent="0.25">
      <c r="A186" s="40"/>
      <c r="B186" s="40"/>
      <c r="C186" s="40"/>
      <c r="D186" s="89"/>
      <c r="E186" s="89"/>
      <c r="F186" s="89"/>
      <c r="G186" s="40"/>
    </row>
    <row r="187" spans="1:7" ht="15.75" x14ac:dyDescent="0.25">
      <c r="A187" s="40"/>
      <c r="B187" s="40"/>
      <c r="C187" s="40"/>
      <c r="D187" s="89"/>
      <c r="E187" s="89"/>
      <c r="F187" s="89"/>
      <c r="G187" s="40"/>
    </row>
    <row r="188" spans="1:7" ht="15.75" x14ac:dyDescent="0.25">
      <c r="A188" s="40"/>
      <c r="B188" s="40"/>
      <c r="C188" s="40"/>
      <c r="D188" s="89"/>
      <c r="E188" s="89"/>
      <c r="F188" s="89"/>
      <c r="G188" s="40"/>
    </row>
    <row r="189" spans="1:7" ht="15.75" x14ac:dyDescent="0.25">
      <c r="A189" s="40"/>
      <c r="B189" s="40"/>
      <c r="C189" s="40"/>
      <c r="D189" s="89"/>
      <c r="E189" s="89"/>
      <c r="F189" s="89"/>
      <c r="G189" s="40"/>
    </row>
    <row r="190" spans="1:7" ht="15.75" x14ac:dyDescent="0.25">
      <c r="A190" s="40"/>
      <c r="B190" s="40"/>
      <c r="C190" s="40"/>
      <c r="D190" s="89"/>
      <c r="E190" s="89"/>
      <c r="F190" s="89"/>
      <c r="G190" s="40"/>
    </row>
    <row r="191" spans="1:7" ht="15.75" x14ac:dyDescent="0.25">
      <c r="A191" s="40"/>
      <c r="B191" s="40"/>
      <c r="C191" s="40"/>
      <c r="D191" s="89"/>
      <c r="E191" s="89"/>
      <c r="F191" s="89"/>
      <c r="G191" s="40"/>
    </row>
    <row r="192" spans="1:7" ht="15.75" x14ac:dyDescent="0.25">
      <c r="A192" s="40"/>
      <c r="B192" s="40"/>
      <c r="C192" s="40"/>
      <c r="D192" s="89"/>
      <c r="E192" s="89"/>
      <c r="F192" s="89"/>
      <c r="G192" s="40"/>
    </row>
    <row r="193" spans="1:7" ht="15.75" x14ac:dyDescent="0.25">
      <c r="A193" s="40"/>
      <c r="B193" s="40"/>
      <c r="C193" s="40"/>
      <c r="D193" s="89"/>
      <c r="E193" s="89"/>
      <c r="F193" s="89"/>
      <c r="G193" s="40"/>
    </row>
    <row r="194" spans="1:7" ht="15.75" x14ac:dyDescent="0.25">
      <c r="A194" s="40"/>
      <c r="B194" s="40"/>
      <c r="C194" s="40"/>
      <c r="D194" s="89"/>
      <c r="E194" s="89"/>
      <c r="F194" s="89"/>
      <c r="G194" s="40"/>
    </row>
    <row r="195" spans="1:7" ht="15.75" x14ac:dyDescent="0.25">
      <c r="A195" s="40"/>
      <c r="B195" s="40"/>
      <c r="C195" s="40"/>
      <c r="D195" s="89"/>
      <c r="E195" s="89"/>
      <c r="F195" s="89"/>
      <c r="G195" s="40"/>
    </row>
    <row r="196" spans="1:7" ht="15.75" x14ac:dyDescent="0.25">
      <c r="A196" s="40"/>
      <c r="B196" s="40"/>
      <c r="C196" s="40"/>
      <c r="D196" s="89"/>
      <c r="E196" s="89"/>
      <c r="F196" s="89"/>
      <c r="G196" s="40"/>
    </row>
    <row r="197" spans="1:7" ht="15.75" x14ac:dyDescent="0.25">
      <c r="A197" s="40"/>
      <c r="B197" s="40"/>
      <c r="C197" s="40"/>
      <c r="D197" s="89"/>
      <c r="E197" s="89"/>
      <c r="F197" s="89"/>
      <c r="G197" s="40"/>
    </row>
    <row r="198" spans="1:7" ht="15.75" x14ac:dyDescent="0.25">
      <c r="A198" s="40"/>
      <c r="B198" s="40"/>
      <c r="C198" s="40"/>
      <c r="D198" s="89"/>
      <c r="E198" s="89"/>
      <c r="F198" s="89"/>
      <c r="G198" s="40"/>
    </row>
    <row r="199" spans="1:7" ht="15.75" x14ac:dyDescent="0.25">
      <c r="A199" s="44"/>
      <c r="B199" s="44"/>
      <c r="C199" s="44"/>
      <c r="D199" s="89"/>
      <c r="E199" s="89"/>
      <c r="F199" s="89"/>
      <c r="G199" s="44"/>
    </row>
    <row r="200" spans="1:7" ht="15.75" x14ac:dyDescent="0.25">
      <c r="A200" s="44"/>
      <c r="B200" s="44"/>
      <c r="C200" s="44"/>
      <c r="D200" s="89"/>
      <c r="E200" s="89"/>
      <c r="F200" s="89"/>
      <c r="G200" s="44"/>
    </row>
    <row r="201" spans="1:7" ht="15.75" x14ac:dyDescent="0.25">
      <c r="A201" s="44"/>
      <c r="B201" s="44"/>
      <c r="C201" s="44"/>
      <c r="D201" s="89"/>
      <c r="E201" s="89"/>
      <c r="F201" s="89"/>
      <c r="G201" s="44"/>
    </row>
    <row r="202" spans="1:7" ht="15.75" x14ac:dyDescent="0.25">
      <c r="A202" s="44"/>
      <c r="B202" s="44"/>
      <c r="C202" s="44"/>
      <c r="D202" s="89"/>
      <c r="E202" s="89"/>
      <c r="F202" s="89"/>
      <c r="G202" s="44"/>
    </row>
    <row r="203" spans="1:7" ht="15.75" x14ac:dyDescent="0.25">
      <c r="A203" s="44"/>
      <c r="B203" s="44"/>
      <c r="C203" s="44"/>
      <c r="D203" s="89"/>
      <c r="E203" s="89"/>
      <c r="F203" s="89"/>
      <c r="G203" s="44"/>
    </row>
    <row r="204" spans="1:7" ht="15.75" x14ac:dyDescent="0.25">
      <c r="A204" s="44"/>
      <c r="B204" s="44"/>
      <c r="C204" s="44"/>
      <c r="D204" s="89"/>
      <c r="E204" s="89"/>
      <c r="F204" s="89"/>
      <c r="G204" s="44"/>
    </row>
    <row r="205" spans="1:7" ht="15.75" x14ac:dyDescent="0.25">
      <c r="A205" s="44"/>
      <c r="B205" s="44"/>
      <c r="C205" s="44"/>
      <c r="D205" s="89"/>
      <c r="E205" s="89"/>
      <c r="F205" s="89"/>
      <c r="G205" s="44"/>
    </row>
    <row r="206" spans="1:7" ht="15.75" x14ac:dyDescent="0.25">
      <c r="A206" s="44"/>
      <c r="B206" s="44"/>
      <c r="C206" s="44"/>
      <c r="D206" s="89"/>
      <c r="E206" s="89"/>
      <c r="F206" s="89"/>
      <c r="G206" s="44"/>
    </row>
    <row r="207" spans="1:7" ht="15.75" x14ac:dyDescent="0.25">
      <c r="A207" s="44"/>
      <c r="B207" s="44"/>
      <c r="C207" s="44"/>
      <c r="D207" s="89"/>
      <c r="E207" s="89"/>
      <c r="F207" s="89"/>
      <c r="G207" s="44"/>
    </row>
    <row r="208" spans="1:7" ht="15.75" x14ac:dyDescent="0.25">
      <c r="A208" s="44"/>
      <c r="B208" s="44"/>
      <c r="C208" s="44"/>
      <c r="D208" s="89"/>
      <c r="E208" s="89"/>
      <c r="F208" s="89"/>
      <c r="G208" s="44"/>
    </row>
    <row r="209" spans="1:7" ht="15.75" x14ac:dyDescent="0.25">
      <c r="A209" s="44"/>
      <c r="B209" s="44"/>
      <c r="C209" s="44"/>
      <c r="D209" s="89"/>
      <c r="E209" s="89"/>
      <c r="F209" s="89"/>
      <c r="G209" s="44"/>
    </row>
    <row r="210" spans="1:7" ht="15.75" x14ac:dyDescent="0.25">
      <c r="A210" s="44"/>
      <c r="B210" s="44"/>
      <c r="C210" s="44"/>
      <c r="D210" s="89"/>
      <c r="E210" s="89"/>
      <c r="F210" s="89"/>
      <c r="G210" s="44"/>
    </row>
    <row r="211" spans="1:7" ht="15.75" x14ac:dyDescent="0.25">
      <c r="A211" s="44"/>
      <c r="B211" s="44"/>
      <c r="C211" s="44"/>
      <c r="D211" s="89"/>
      <c r="E211" s="89"/>
      <c r="F211" s="89"/>
      <c r="G211" s="44"/>
    </row>
    <row r="212" spans="1:7" ht="15.75" x14ac:dyDescent="0.25">
      <c r="A212" s="44"/>
      <c r="B212" s="44"/>
      <c r="C212" s="44"/>
      <c r="D212" s="89"/>
      <c r="E212" s="89"/>
      <c r="F212" s="89"/>
      <c r="G212" s="44"/>
    </row>
    <row r="213" spans="1:7" ht="15.75" x14ac:dyDescent="0.25">
      <c r="A213" s="44"/>
      <c r="B213" s="44"/>
      <c r="C213" s="44"/>
      <c r="D213" s="89"/>
      <c r="E213" s="89"/>
      <c r="F213" s="89"/>
      <c r="G213" s="44"/>
    </row>
    <row r="214" spans="1:7" ht="15.75" x14ac:dyDescent="0.25">
      <c r="A214" s="44"/>
      <c r="B214" s="44"/>
      <c r="C214" s="44"/>
      <c r="D214" s="89"/>
      <c r="E214" s="89"/>
      <c r="F214" s="89"/>
      <c r="G214" s="44"/>
    </row>
    <row r="215" spans="1:7" ht="15.75" x14ac:dyDescent="0.25">
      <c r="A215" s="44"/>
      <c r="B215" s="44"/>
      <c r="C215" s="44"/>
      <c r="D215" s="89"/>
      <c r="E215" s="89"/>
      <c r="F215" s="89"/>
      <c r="G215" s="44"/>
    </row>
    <row r="216" spans="1:7" ht="15.75" x14ac:dyDescent="0.25">
      <c r="A216" s="44"/>
      <c r="B216" s="44"/>
      <c r="C216" s="44"/>
      <c r="D216" s="89"/>
      <c r="E216" s="89"/>
      <c r="F216" s="89"/>
      <c r="G216" s="44"/>
    </row>
    <row r="217" spans="1:7" ht="15.75" x14ac:dyDescent="0.25">
      <c r="A217" s="44"/>
      <c r="B217" s="44"/>
      <c r="C217" s="44"/>
      <c r="D217" s="89"/>
      <c r="E217" s="89"/>
      <c r="F217" s="89"/>
      <c r="G217" s="44"/>
    </row>
    <row r="218" spans="1:7" ht="15.75" x14ac:dyDescent="0.25">
      <c r="A218" s="44"/>
      <c r="B218" s="44"/>
      <c r="C218" s="44"/>
      <c r="D218" s="89"/>
      <c r="E218" s="89"/>
      <c r="F218" s="89"/>
      <c r="G218" s="44"/>
    </row>
    <row r="219" spans="1:7" ht="15.75" x14ac:dyDescent="0.25">
      <c r="A219" s="44"/>
      <c r="B219" s="44"/>
      <c r="C219" s="44"/>
      <c r="D219" s="89"/>
      <c r="E219" s="89"/>
      <c r="F219" s="89"/>
      <c r="G219" s="44"/>
    </row>
    <row r="220" spans="1:7" ht="15.75" x14ac:dyDescent="0.25">
      <c r="A220" s="44"/>
      <c r="B220" s="44"/>
      <c r="C220" s="44"/>
      <c r="D220" s="89"/>
      <c r="E220" s="89"/>
      <c r="F220" s="89"/>
      <c r="G220" s="44"/>
    </row>
    <row r="221" spans="1:7" ht="15.75" x14ac:dyDescent="0.25">
      <c r="A221" s="44"/>
      <c r="B221" s="44"/>
      <c r="C221" s="44"/>
      <c r="D221" s="89"/>
      <c r="E221" s="89"/>
      <c r="F221" s="89"/>
      <c r="G221" s="44"/>
    </row>
    <row r="222" spans="1:7" ht="15.75" x14ac:dyDescent="0.25">
      <c r="A222" s="44"/>
      <c r="B222" s="44"/>
      <c r="C222" s="44"/>
      <c r="D222" s="89"/>
      <c r="E222" s="89"/>
      <c r="F222" s="89"/>
      <c r="G222" s="44"/>
    </row>
    <row r="223" spans="1:7" ht="15.75" x14ac:dyDescent="0.25">
      <c r="A223" s="44"/>
      <c r="B223" s="44"/>
      <c r="C223" s="44"/>
      <c r="D223" s="89"/>
      <c r="E223" s="89"/>
      <c r="F223" s="89"/>
      <c r="G223" s="44"/>
    </row>
    <row r="224" spans="1:7" ht="15.75" x14ac:dyDescent="0.25">
      <c r="A224" s="44"/>
      <c r="B224" s="44"/>
      <c r="C224" s="44"/>
      <c r="D224" s="89"/>
      <c r="E224" s="89"/>
      <c r="F224" s="89"/>
      <c r="G224" s="44"/>
    </row>
    <row r="225" spans="1:7" ht="15.75" x14ac:dyDescent="0.25">
      <c r="A225" s="44"/>
      <c r="B225" s="44"/>
      <c r="C225" s="44"/>
      <c r="D225" s="89"/>
      <c r="E225" s="89"/>
      <c r="F225" s="89"/>
      <c r="G225" s="44"/>
    </row>
    <row r="226" spans="1:7" ht="15.75" x14ac:dyDescent="0.25">
      <c r="D226" s="89"/>
      <c r="E226" s="89"/>
      <c r="F226" s="89"/>
    </row>
    <row r="227" spans="1:7" ht="15.75" x14ac:dyDescent="0.25">
      <c r="D227" s="89"/>
      <c r="E227" s="89"/>
      <c r="F227" s="89"/>
    </row>
  </sheetData>
  <mergeCells count="15">
    <mergeCell ref="A118:B118"/>
    <mergeCell ref="A4:C4"/>
    <mergeCell ref="A5:C5"/>
    <mergeCell ref="A105:B105"/>
    <mergeCell ref="A108:B108"/>
    <mergeCell ref="A112:B112"/>
    <mergeCell ref="B165:C165"/>
    <mergeCell ref="B166:C166"/>
    <mergeCell ref="B167:C167"/>
    <mergeCell ref="A123:B123"/>
    <mergeCell ref="A126:B126"/>
    <mergeCell ref="A128:B128"/>
    <mergeCell ref="A131:B131"/>
    <mergeCell ref="B151:C151"/>
    <mergeCell ref="B157:C157"/>
  </mergeCells>
  <printOptions horizontalCentered="1" verticalCentered="1" gridLinesSet="0"/>
  <pageMargins left="0.11811023622047245" right="0.11811023622047245" top="0.51181102362204722" bottom="0.51181102362204722" header="0.51181102362204722" footer="0.51181102362204722"/>
  <pageSetup paperSize="9" orientation="portrait" horizontalDpi="4294967292" verticalDpi="300" r:id="rId1"/>
  <headerFooter alignWithMargins="0">
    <oddFooter>&amp;LPAG. &amp;P</oddFooter>
  </headerFooter>
  <rowBreaks count="2" manualBreakCount="2">
    <brk id="36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zeta scoring</vt:lpstr>
      <vt:lpstr>'zeta scoring'!Area_stampa</vt:lpstr>
      <vt:lpstr>'zeta scoring'!INDICI</vt:lpstr>
      <vt:lpstr>'zeta scoring'!Titoli_stampa_MI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Tami</cp:lastModifiedBy>
  <dcterms:created xsi:type="dcterms:W3CDTF">2020-04-01T08:39:46Z</dcterms:created>
  <dcterms:modified xsi:type="dcterms:W3CDTF">2020-04-02T14:23:05Z</dcterms:modified>
</cp:coreProperties>
</file>